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niversity\Tadris\karborde computer\"/>
    </mc:Choice>
  </mc:AlternateContent>
  <bookViews>
    <workbookView xWindow="0" yWindow="0" windowWidth="20490" windowHeight="7905" firstSheet="2" activeTab="2"/>
  </bookViews>
  <sheets>
    <sheet name="main" sheetId="4" state="hidden" r:id="rId1"/>
    <sheet name="0-5" sheetId="3" state="hidden" r:id="rId2"/>
    <sheet name="عمود بر لبه" sheetId="1" r:id="rId3"/>
    <sheet name="موازی لبه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  <c r="D1" i="1"/>
  <c r="R2" i="5" l="1"/>
  <c r="N19" i="5" l="1"/>
  <c r="N25" i="5" s="1"/>
  <c r="Q25" i="5" s="1"/>
  <c r="Q19" i="5" l="1"/>
  <c r="D8" i="5"/>
  <c r="G8" i="5" s="1"/>
  <c r="D30" i="5"/>
  <c r="D29" i="5"/>
  <c r="D3" i="5" s="1"/>
  <c r="D22" i="5"/>
  <c r="P2" i="5"/>
  <c r="P4" i="5"/>
  <c r="P3" i="5"/>
  <c r="E2" i="5" l="1"/>
  <c r="B19" i="1"/>
  <c r="B18" i="1" s="1"/>
  <c r="B20" i="1" s="1"/>
  <c r="J26" i="1" s="1"/>
  <c r="D31" i="1"/>
  <c r="E31" i="1"/>
  <c r="F31" i="1"/>
  <c r="C31" i="1"/>
  <c r="D32" i="1"/>
  <c r="E32" i="1"/>
  <c r="F32" i="1"/>
  <c r="C32" i="1"/>
  <c r="D24" i="1"/>
  <c r="E24" i="1"/>
  <c r="F24" i="1"/>
  <c r="C24" i="1"/>
  <c r="D25" i="1"/>
  <c r="E25" i="1"/>
  <c r="F25" i="1"/>
  <c r="C25" i="1"/>
  <c r="B19" i="4"/>
  <c r="B18" i="4" s="1"/>
  <c r="B20" i="4" s="1"/>
  <c r="B14" i="4"/>
  <c r="C15" i="4" s="1"/>
  <c r="C17" i="4" s="1"/>
  <c r="N3" i="4" s="1"/>
  <c r="N1" i="4" s="1"/>
  <c r="B13" i="3"/>
  <c r="C14" i="3" s="1"/>
  <c r="C16" i="3" s="1"/>
  <c r="N3" i="3" s="1"/>
  <c r="N1" i="3" s="1"/>
  <c r="B15" i="4" l="1"/>
  <c r="B17" i="4" s="1"/>
  <c r="N2" i="4" s="1"/>
  <c r="C2" i="4" s="1"/>
  <c r="D24" i="5"/>
  <c r="D25" i="5" s="1"/>
  <c r="D26" i="5" s="1"/>
  <c r="D32" i="5" s="1"/>
  <c r="Q2" i="5"/>
  <c r="S2" i="5" s="1"/>
  <c r="E8" i="5" s="1"/>
  <c r="D20" i="5"/>
  <c r="E20" i="5" s="1"/>
  <c r="J25" i="1"/>
  <c r="L26" i="1"/>
  <c r="K23" i="1"/>
  <c r="I24" i="1"/>
  <c r="K26" i="1"/>
  <c r="I25" i="1"/>
  <c r="L23" i="1"/>
  <c r="J23" i="1"/>
  <c r="K24" i="1"/>
  <c r="L24" i="1"/>
  <c r="I23" i="1"/>
  <c r="J24" i="1"/>
  <c r="K25" i="1"/>
  <c r="L25" i="1"/>
  <c r="I26" i="1"/>
  <c r="B14" i="3"/>
  <c r="B16" i="3" s="1"/>
  <c r="N2" i="3" s="1"/>
  <c r="C2" i="3" s="1"/>
  <c r="F8" i="5" l="1"/>
  <c r="D21" i="5"/>
  <c r="E21" i="5" s="1"/>
  <c r="E18" i="5" s="1"/>
  <c r="F10" i="3"/>
  <c r="E11" i="3"/>
  <c r="F8" i="3"/>
  <c r="E10" i="3"/>
  <c r="C11" i="3"/>
  <c r="E8" i="3"/>
  <c r="C10" i="3"/>
  <c r="C8" i="3"/>
  <c r="F11" i="3"/>
  <c r="D11" i="3"/>
  <c r="D10" i="3"/>
  <c r="D8" i="3"/>
  <c r="F18" i="5" l="1"/>
  <c r="D18" i="5"/>
  <c r="E9" i="3"/>
  <c r="D9" i="3"/>
  <c r="C9" i="3"/>
  <c r="F9" i="3"/>
  <c r="B14" i="1"/>
  <c r="G18" i="5" l="1"/>
  <c r="B15" i="1"/>
  <c r="B17" i="1" s="1"/>
  <c r="N2" i="1" s="1"/>
  <c r="C15" i="1"/>
  <c r="C17" i="1" s="1"/>
  <c r="N3" i="1" s="1"/>
  <c r="N1" i="1" s="1"/>
  <c r="C2" i="1" l="1"/>
  <c r="C11" i="5" l="1"/>
  <c r="D11" i="5" s="1"/>
  <c r="G11" i="5" s="1"/>
  <c r="H28" i="1"/>
  <c r="S8" i="5" s="1"/>
  <c r="N28" i="1"/>
  <c r="S9" i="5" s="1"/>
  <c r="E9" i="1"/>
  <c r="E9" i="4" s="1"/>
  <c r="D9" i="1"/>
  <c r="D9" i="4" s="1"/>
  <c r="D12" i="1"/>
  <c r="D12" i="4" s="1"/>
  <c r="N31" i="1"/>
  <c r="C12" i="1"/>
  <c r="C9" i="1"/>
  <c r="F9" i="1"/>
  <c r="F9" i="4" s="1"/>
  <c r="E12" i="1"/>
  <c r="E11" i="1" s="1"/>
  <c r="E10" i="1" s="1"/>
  <c r="F12" i="1"/>
  <c r="F11" i="1" s="1"/>
  <c r="E11" i="5"/>
  <c r="F11" i="5" s="1"/>
  <c r="G32" i="1"/>
  <c r="N33" i="1"/>
  <c r="N32" i="1"/>
  <c r="R32" i="1" s="1"/>
  <c r="C9" i="4"/>
  <c r="C11" i="1"/>
  <c r="E12" i="4"/>
  <c r="C12" i="4"/>
  <c r="E11" i="4"/>
  <c r="D10" i="5" l="1"/>
  <c r="E10" i="5"/>
  <c r="E7" i="5" s="1"/>
  <c r="O19" i="5" s="1"/>
  <c r="P8" i="5"/>
  <c r="Q8" i="5" s="1"/>
  <c r="O8" i="5"/>
  <c r="R8" i="5" s="1"/>
  <c r="G31" i="1"/>
  <c r="D11" i="1"/>
  <c r="G30" i="1"/>
  <c r="K30" i="1" s="1"/>
  <c r="P9" i="5"/>
  <c r="Q9" i="5" s="1"/>
  <c r="O9" i="5"/>
  <c r="R9" i="5" s="1"/>
  <c r="J30" i="1"/>
  <c r="F12" i="4"/>
  <c r="C10" i="1"/>
  <c r="C10" i="4" s="1"/>
  <c r="N30" i="1"/>
  <c r="Q30" i="1" s="1"/>
  <c r="G33" i="1"/>
  <c r="L33" i="1" s="1"/>
  <c r="K32" i="1"/>
  <c r="S33" i="1"/>
  <c r="C11" i="4"/>
  <c r="D7" i="5"/>
  <c r="D6" i="5"/>
  <c r="P33" i="1"/>
  <c r="Q33" i="1"/>
  <c r="R33" i="1"/>
  <c r="J32" i="1"/>
  <c r="Q32" i="1"/>
  <c r="F11" i="4"/>
  <c r="L32" i="1"/>
  <c r="S32" i="1"/>
  <c r="I31" i="1"/>
  <c r="P32" i="1"/>
  <c r="I32" i="1"/>
  <c r="E10" i="4"/>
  <c r="K31" i="1"/>
  <c r="R31" i="1"/>
  <c r="E6" i="5"/>
  <c r="G10" i="5"/>
  <c r="G7" i="5" s="1"/>
  <c r="F10" i="1"/>
  <c r="F10" i="5" l="1"/>
  <c r="F7" i="5" s="1"/>
  <c r="K19" i="5"/>
  <c r="K33" i="1"/>
  <c r="L30" i="1"/>
  <c r="D10" i="1"/>
  <c r="D11" i="4"/>
  <c r="S30" i="1"/>
  <c r="I30" i="1"/>
  <c r="K25" i="5"/>
  <c r="K24" i="5"/>
  <c r="K18" i="5"/>
  <c r="J19" i="5"/>
  <c r="J25" i="5"/>
  <c r="M19" i="5"/>
  <c r="M25" i="5"/>
  <c r="L25" i="5"/>
  <c r="L19" i="5"/>
  <c r="J24" i="5"/>
  <c r="J18" i="5"/>
  <c r="P30" i="1"/>
  <c r="R30" i="1"/>
  <c r="P31" i="1"/>
  <c r="J33" i="1"/>
  <c r="I33" i="1"/>
  <c r="O25" i="5"/>
  <c r="P19" i="5"/>
  <c r="N18" i="5"/>
  <c r="N24" i="5" s="1"/>
  <c r="Q24" i="5" s="1"/>
  <c r="O18" i="5"/>
  <c r="O24" i="5" s="1"/>
  <c r="F10" i="4"/>
  <c r="S31" i="1"/>
  <c r="L31" i="1"/>
  <c r="F6" i="5"/>
  <c r="G6" i="5"/>
  <c r="D10" i="4" l="1"/>
  <c r="J31" i="1"/>
  <c r="Q31" i="1"/>
  <c r="P18" i="5"/>
  <c r="L24" i="5"/>
  <c r="L18" i="5"/>
  <c r="M24" i="5"/>
  <c r="M18" i="5"/>
  <c r="Q18" i="5"/>
  <c r="P24" i="5"/>
  <c r="P25" i="5"/>
</calcChain>
</file>

<file path=xl/sharedStrings.xml><?xml version="1.0" encoding="utf-8"?>
<sst xmlns="http://schemas.openxmlformats.org/spreadsheetml/2006/main" count="171" uniqueCount="62">
  <si>
    <t>فشار مبنای باد</t>
  </si>
  <si>
    <t>ضریب اهمیت ساختمان</t>
  </si>
  <si>
    <t>A</t>
  </si>
  <si>
    <t>B</t>
  </si>
  <si>
    <t>C</t>
  </si>
  <si>
    <t>D</t>
  </si>
  <si>
    <t>ارتفاع شانه</t>
  </si>
  <si>
    <t>میانگین ارتفاع</t>
  </si>
  <si>
    <t>فاصله قابها</t>
  </si>
  <si>
    <t>شماره قاب</t>
  </si>
  <si>
    <t xml:space="preserve">ارتفاع رأس </t>
  </si>
  <si>
    <t>متر</t>
  </si>
  <si>
    <t>کیلونیوتن بر متر</t>
  </si>
  <si>
    <t>ورودی ها</t>
  </si>
  <si>
    <t>خروجی ها</t>
  </si>
  <si>
    <t>تهیه کننده ؛ سیدصادق علوی</t>
  </si>
  <si>
    <t>sadeghalavi@yahoo.com</t>
  </si>
  <si>
    <t>طراح، مدرس و مؤلف در زمینۀ سوله</t>
  </si>
  <si>
    <t>زمین ساختگاه</t>
  </si>
  <si>
    <t>متراکم</t>
  </si>
  <si>
    <t>باز</t>
  </si>
  <si>
    <t>ویرایش دوم</t>
  </si>
  <si>
    <t>عرض دهانه سوله</t>
  </si>
  <si>
    <t>زاویه شیب بام</t>
  </si>
  <si>
    <t>نسبت</t>
  </si>
  <si>
    <t>ویرایش سوم</t>
  </si>
  <si>
    <t>شیب بام</t>
  </si>
  <si>
    <t>زاویۀ شیب بام</t>
  </si>
  <si>
    <t>فاصله بین 2 وال پُست</t>
  </si>
  <si>
    <t>B/2</t>
  </si>
  <si>
    <t>B/3</t>
  </si>
  <si>
    <t>B/4</t>
  </si>
  <si>
    <t>سطح بادگیر</t>
  </si>
  <si>
    <t>I</t>
  </si>
  <si>
    <t>II</t>
  </si>
  <si>
    <t>III</t>
  </si>
  <si>
    <t>IV</t>
  </si>
  <si>
    <t>مستطیلی</t>
  </si>
  <si>
    <t>مثلثی</t>
  </si>
  <si>
    <t>کل ناحیه مثلثی</t>
  </si>
  <si>
    <t>ارتفاع مثلث</t>
  </si>
  <si>
    <t>عرض سوله</t>
  </si>
  <si>
    <t>اختلاف ارتفاع</t>
  </si>
  <si>
    <t>CpCg</t>
  </si>
  <si>
    <t>ارتفاع وال پُست</t>
  </si>
  <si>
    <t>شماره ستون</t>
  </si>
  <si>
    <t>ارتفاع ستون</t>
  </si>
  <si>
    <t>(X)</t>
  </si>
  <si>
    <t>شیت دوم را نیز ملاحظه بفرمایید</t>
  </si>
  <si>
    <t>(B)</t>
  </si>
  <si>
    <t>case 1</t>
  </si>
  <si>
    <t>case 2</t>
  </si>
  <si>
    <t>.توجه داشته باشید که سازه بایستی 2 بار با 2 حالت بار جداگانه بارگذاری شود. بدیهی است به ازاء هر حالت یک ترکیب بارگذاری جداگانه نیاز خواهیم داشت</t>
  </si>
  <si>
    <t>فشار خالص</t>
  </si>
  <si>
    <t>فشار خارجی</t>
  </si>
  <si>
    <t>قاعده مثلث</t>
  </si>
  <si>
    <t>ارتفاع مثلث بزرگ</t>
  </si>
  <si>
    <t>ارتفاع مثلث کوچک</t>
  </si>
  <si>
    <t>ویرایش هفتم</t>
  </si>
  <si>
    <t>دارد</t>
  </si>
  <si>
    <t>ندارد</t>
  </si>
  <si>
    <t>ساختمان بازشو بزرگِ دائمی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</si>
</sst>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2  Lotus"/>
      <charset val="178"/>
    </font>
    <font>
      <i/>
      <sz val="11"/>
      <color theme="1"/>
      <name val="Times New Roman"/>
      <family val="1"/>
    </font>
    <font>
      <i/>
      <sz val="11"/>
      <color theme="0"/>
      <name val="Times New Roman"/>
      <family val="1"/>
    </font>
    <font>
      <sz val="11"/>
      <color theme="0"/>
      <name val="2  Lotus"/>
      <charset val="178"/>
    </font>
    <font>
      <sz val="11"/>
      <color theme="4" tint="0.59999389629810485"/>
      <name val="2  Lotus"/>
      <charset val="178"/>
    </font>
    <font>
      <sz val="11"/>
      <color theme="4" tint="0.39997558519241921"/>
      <name val="2  Lotus"/>
      <charset val="178"/>
    </font>
    <font>
      <sz val="11"/>
      <color theme="4" tint="-0.249977111117893"/>
      <name val="2  Titr"/>
      <charset val="178"/>
    </font>
    <font>
      <sz val="11"/>
      <color theme="9" tint="-0.249977111117893"/>
      <name val="2  Titr"/>
      <charset val="178"/>
    </font>
    <font>
      <u/>
      <sz val="11"/>
      <color theme="10"/>
      <name val="Calibri"/>
      <family val="2"/>
      <charset val="178"/>
      <scheme val="minor"/>
    </font>
    <font>
      <i/>
      <u/>
      <sz val="11"/>
      <color theme="10"/>
      <name val="Times New Roman"/>
      <family val="1"/>
    </font>
    <font>
      <sz val="11"/>
      <color theme="4"/>
      <name val="2  Lotus"/>
      <charset val="178"/>
    </font>
    <font>
      <sz val="11"/>
      <color rgb="FF7030A0"/>
      <name val="2  Titr"/>
      <charset val="178"/>
    </font>
    <font>
      <sz val="11"/>
      <color rgb="FF7030A0"/>
      <name val="Calibri"/>
      <family val="2"/>
      <charset val="178"/>
      <scheme val="minor"/>
    </font>
    <font>
      <i/>
      <sz val="11"/>
      <color theme="4"/>
      <name val="Times New Roman"/>
      <family val="1"/>
    </font>
    <font>
      <b/>
      <sz val="11"/>
      <color theme="1"/>
      <name val="Calibri"/>
      <family val="2"/>
      <charset val="178"/>
      <scheme val="minor"/>
    </font>
    <font>
      <sz val="11"/>
      <color theme="4" tint="0.59999389629810485"/>
      <name val="Calibri"/>
      <family val="2"/>
      <charset val="178"/>
      <scheme val="minor"/>
    </font>
    <font>
      <i/>
      <sz val="11"/>
      <color theme="4" tint="0.59999389629810485"/>
      <name val="Times New Roman"/>
      <family val="1"/>
    </font>
    <font>
      <sz val="11"/>
      <color theme="4" tint="-0.499984740745262"/>
      <name val="Times New Roman"/>
      <family val="1"/>
    </font>
    <font>
      <b/>
      <sz val="11"/>
      <color theme="1"/>
      <name val="2  Lotus"/>
      <charset val="178"/>
    </font>
    <font>
      <i/>
      <sz val="14"/>
      <color theme="1"/>
      <name val="Calibri Light"/>
      <family val="1"/>
      <scheme val="major"/>
    </font>
    <font>
      <sz val="13"/>
      <color theme="0"/>
      <name val="2  Lotus"/>
      <charset val="178"/>
    </font>
    <font>
      <sz val="13"/>
      <color theme="0"/>
      <name val="Calibri"/>
      <family val="2"/>
      <charset val="178"/>
      <scheme val="minor"/>
    </font>
    <font>
      <b/>
      <sz val="15"/>
      <color theme="1"/>
      <name val="2  Lotus"/>
      <charset val="178"/>
    </font>
    <font>
      <b/>
      <sz val="15"/>
      <color theme="1"/>
      <name val="Calibri"/>
      <family val="2"/>
      <charset val="178"/>
      <scheme val="minor"/>
    </font>
    <font>
      <i/>
      <sz val="11"/>
      <color theme="4" tint="0.39997558519241921"/>
      <name val="Times New Roman"/>
      <family val="1"/>
    </font>
    <font>
      <sz val="11"/>
      <color theme="4" tint="0.79998168889431442"/>
      <name val="2  Lotus"/>
      <charset val="178"/>
    </font>
    <font>
      <i/>
      <sz val="11"/>
      <color theme="4" tint="0.79998168889431442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/>
      <right style="double">
        <color indexed="64"/>
      </right>
      <top style="double">
        <color auto="1"/>
      </top>
      <bottom style="double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 applyProtection="1">
      <alignment horizontal="center" readingOrder="1"/>
    </xf>
    <xf numFmtId="0" fontId="2" fillId="2" borderId="5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center" readingOrder="1"/>
    </xf>
    <xf numFmtId="0" fontId="6" fillId="0" borderId="0" xfId="0" applyFont="1" applyAlignment="1" applyProtection="1">
      <alignment horizontal="center" readingOrder="1"/>
    </xf>
    <xf numFmtId="0" fontId="2" fillId="2" borderId="5" xfId="0" applyFont="1" applyFill="1" applyBorder="1" applyAlignment="1" applyProtection="1">
      <alignment horizontal="center" readingOrder="1"/>
    </xf>
    <xf numFmtId="0" fontId="2" fillId="2" borderId="6" xfId="0" applyFont="1" applyFill="1" applyBorder="1" applyAlignment="1" applyProtection="1">
      <alignment horizontal="center" readingOrder="1"/>
    </xf>
    <xf numFmtId="0" fontId="2" fillId="5" borderId="5" xfId="0" applyFont="1" applyFill="1" applyBorder="1" applyAlignment="1" applyProtection="1">
      <alignment horizontal="center" readingOrder="1"/>
    </xf>
    <xf numFmtId="0" fontId="4" fillId="4" borderId="5" xfId="0" applyFont="1" applyFill="1" applyBorder="1" applyAlignment="1" applyProtection="1">
      <alignment horizontal="center" readingOrder="1"/>
    </xf>
    <xf numFmtId="2" fontId="2" fillId="0" borderId="5" xfId="0" applyNumberFormat="1" applyFont="1" applyBorder="1" applyAlignment="1" applyProtection="1">
      <alignment horizontal="center" readingOrder="1"/>
    </xf>
    <xf numFmtId="0" fontId="2" fillId="7" borderId="5" xfId="0" applyFont="1" applyFill="1" applyBorder="1" applyAlignment="1" applyProtection="1">
      <alignment horizontal="center"/>
      <protection locked="0"/>
    </xf>
    <xf numFmtId="0" fontId="2" fillId="7" borderId="5" xfId="0" applyFont="1" applyFill="1" applyBorder="1" applyAlignment="1" applyProtection="1">
      <alignment horizontal="center" readingOrder="1"/>
      <protection locked="0"/>
    </xf>
    <xf numFmtId="0" fontId="2" fillId="7" borderId="7" xfId="0" applyFont="1" applyFill="1" applyBorder="1" applyAlignment="1" applyProtection="1">
      <alignment horizontal="center" readingOrder="1"/>
      <protection locked="0"/>
    </xf>
    <xf numFmtId="0" fontId="12" fillId="0" borderId="0" xfId="0" applyFont="1" applyAlignment="1" applyProtection="1">
      <alignment horizontal="center" readingOrder="1"/>
    </xf>
    <xf numFmtId="2" fontId="12" fillId="0" borderId="0" xfId="0" applyNumberFormat="1" applyFont="1" applyAlignment="1" applyProtection="1">
      <alignment horizontal="center" readingOrder="1"/>
    </xf>
    <xf numFmtId="2" fontId="6" fillId="0" borderId="0" xfId="0" applyNumberFormat="1" applyFont="1" applyAlignment="1" applyProtection="1">
      <alignment horizontal="center" readingOrder="1"/>
    </xf>
    <xf numFmtId="0" fontId="2" fillId="5" borderId="16" xfId="0" applyFont="1" applyFill="1" applyBorder="1" applyAlignment="1" applyProtection="1">
      <alignment horizontal="center" readingOrder="1"/>
    </xf>
    <xf numFmtId="0" fontId="2" fillId="0" borderId="17" xfId="0" applyFont="1" applyFill="1" applyBorder="1" applyAlignment="1" applyProtection="1">
      <alignment horizontal="center" readingOrder="1"/>
    </xf>
    <xf numFmtId="0" fontId="2" fillId="0" borderId="11" xfId="0" applyFont="1" applyFill="1" applyBorder="1" applyAlignment="1" applyProtection="1">
      <alignment horizontal="center" readingOrder="1"/>
    </xf>
    <xf numFmtId="0" fontId="12" fillId="7" borderId="5" xfId="0" applyFont="1" applyFill="1" applyBorder="1" applyAlignment="1" applyProtection="1">
      <alignment horizontal="center" readingOrder="1"/>
    </xf>
    <xf numFmtId="0" fontId="15" fillId="7" borderId="5" xfId="0" applyFont="1" applyFill="1" applyBorder="1" applyAlignment="1" applyProtection="1">
      <alignment horizontal="center" readingOrder="1"/>
    </xf>
    <xf numFmtId="2" fontId="12" fillId="7" borderId="5" xfId="0" applyNumberFormat="1" applyFont="1" applyFill="1" applyBorder="1" applyAlignment="1" applyProtection="1">
      <alignment horizontal="center" readingOrder="1"/>
    </xf>
    <xf numFmtId="0" fontId="19" fillId="7" borderId="0" xfId="0" applyFont="1" applyFill="1" applyAlignment="1" applyProtection="1">
      <alignment horizontal="center"/>
      <protection locked="0"/>
    </xf>
    <xf numFmtId="0" fontId="2" fillId="0" borderId="0" xfId="0" applyFont="1" applyProtection="1"/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2" fontId="7" fillId="0" borderId="0" xfId="0" applyNumberFormat="1" applyFont="1" applyAlignment="1" applyProtection="1">
      <alignment horizontal="center"/>
    </xf>
    <xf numFmtId="0" fontId="6" fillId="0" borderId="0" xfId="0" applyFont="1" applyProtection="1"/>
    <xf numFmtId="0" fontId="3" fillId="8" borderId="5" xfId="0" applyFont="1" applyFill="1" applyBorder="1" applyAlignment="1" applyProtection="1">
      <alignment horizontal="center"/>
    </xf>
    <xf numFmtId="0" fontId="3" fillId="11" borderId="5" xfId="0" applyFont="1" applyFill="1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/>
    </xf>
    <xf numFmtId="2" fontId="2" fillId="0" borderId="5" xfId="0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0" fontId="21" fillId="12" borderId="5" xfId="0" applyFont="1" applyFill="1" applyBorder="1" applyAlignment="1" applyProtection="1">
      <alignment horizontal="center" readingOrder="1"/>
      <protection locked="0"/>
    </xf>
    <xf numFmtId="0" fontId="12" fillId="9" borderId="0" xfId="0" applyFont="1" applyFill="1" applyAlignment="1" applyProtection="1">
      <alignment horizontal="center"/>
    </xf>
    <xf numFmtId="2" fontId="12" fillId="9" borderId="0" xfId="0" applyNumberFormat="1" applyFont="1" applyFill="1" applyAlignment="1" applyProtection="1">
      <alignment horizontal="center"/>
    </xf>
    <xf numFmtId="0" fontId="7" fillId="9" borderId="0" xfId="0" applyFont="1" applyFill="1" applyBorder="1" applyAlignment="1" applyProtection="1">
      <alignment horizontal="center" readingOrder="1"/>
    </xf>
    <xf numFmtId="0" fontId="26" fillId="9" borderId="0" xfId="0" applyFont="1" applyFill="1" applyBorder="1" applyAlignment="1" applyProtection="1">
      <alignment horizontal="center" readingOrder="1"/>
    </xf>
    <xf numFmtId="2" fontId="7" fillId="9" borderId="0" xfId="0" applyNumberFormat="1" applyFont="1" applyFill="1" applyBorder="1" applyAlignment="1" applyProtection="1">
      <alignment horizontal="center" readingOrder="1"/>
    </xf>
    <xf numFmtId="0" fontId="21" fillId="12" borderId="5" xfId="0" applyFont="1" applyFill="1" applyBorder="1" applyAlignment="1" applyProtection="1">
      <alignment horizontal="center" readingOrder="1"/>
    </xf>
    <xf numFmtId="0" fontId="27" fillId="0" borderId="0" xfId="0" applyFont="1" applyProtection="1"/>
    <xf numFmtId="0" fontId="28" fillId="0" borderId="0" xfId="0" applyFont="1" applyAlignment="1" applyProtection="1">
      <alignment horizontal="center" vertical="center"/>
    </xf>
    <xf numFmtId="0" fontId="11" fillId="0" borderId="0" xfId="1" applyFont="1" applyAlignment="1" applyProtection="1">
      <alignment horizontal="center" readingOrder="1"/>
    </xf>
    <xf numFmtId="0" fontId="3" fillId="0" borderId="0" xfId="0" applyFont="1" applyAlignment="1" applyProtection="1">
      <alignment horizontal="center" readingOrder="1"/>
    </xf>
    <xf numFmtId="0" fontId="8" fillId="0" borderId="11" xfId="0" applyFont="1" applyBorder="1" applyAlignment="1" applyProtection="1">
      <alignment horizontal="center" readingOrder="1"/>
    </xf>
    <xf numFmtId="0" fontId="2" fillId="0" borderId="14" xfId="0" applyFont="1" applyBorder="1" applyAlignment="1" applyProtection="1">
      <alignment horizontal="center" vertical="center" readingOrder="1"/>
    </xf>
    <xf numFmtId="0" fontId="0" fillId="0" borderId="15" xfId="0" applyBorder="1" applyAlignment="1" applyProtection="1">
      <alignment horizontal="center" vertical="center" readingOrder="1"/>
    </xf>
    <xf numFmtId="0" fontId="2" fillId="3" borderId="8" xfId="0" applyFont="1" applyFill="1" applyBorder="1" applyAlignment="1" applyProtection="1">
      <alignment horizontal="center" vertical="center" readingOrder="1"/>
    </xf>
    <xf numFmtId="0" fontId="0" fillId="3" borderId="9" xfId="0" applyFill="1" applyBorder="1" applyAlignment="1" applyProtection="1">
      <alignment horizontal="center" vertical="center" readingOrder="1"/>
    </xf>
    <xf numFmtId="0" fontId="0" fillId="3" borderId="10" xfId="0" applyFill="1" applyBorder="1" applyAlignment="1" applyProtection="1">
      <alignment horizontal="center" vertical="center" readingOrder="1"/>
    </xf>
    <xf numFmtId="2" fontId="13" fillId="0" borderId="13" xfId="0" applyNumberFormat="1" applyFont="1" applyBorder="1" applyAlignment="1" applyProtection="1">
      <alignment horizontal="center" readingOrder="1"/>
    </xf>
    <xf numFmtId="2" fontId="14" fillId="0" borderId="13" xfId="0" applyNumberFormat="1" applyFont="1" applyBorder="1" applyAlignment="1">
      <alignment horizontal="center" readingOrder="1"/>
    </xf>
    <xf numFmtId="0" fontId="5" fillId="6" borderId="1" xfId="0" applyFont="1" applyFill="1" applyBorder="1" applyAlignment="1" applyProtection="1">
      <alignment horizontal="center" readingOrder="1"/>
    </xf>
    <xf numFmtId="0" fontId="1" fillId="6" borderId="12" xfId="0" applyFont="1" applyFill="1" applyBorder="1" applyAlignment="1" applyProtection="1">
      <alignment horizontal="center" readingOrder="1"/>
    </xf>
    <xf numFmtId="0" fontId="1" fillId="6" borderId="2" xfId="0" applyFont="1" applyFill="1" applyBorder="1" applyAlignment="1" applyProtection="1">
      <alignment horizontal="center" readingOrder="1"/>
    </xf>
    <xf numFmtId="0" fontId="9" fillId="0" borderId="0" xfId="0" applyFont="1" applyBorder="1" applyAlignment="1" applyProtection="1">
      <alignment horizontal="center" readingOrder="1"/>
    </xf>
    <xf numFmtId="0" fontId="5" fillId="6" borderId="3" xfId="0" applyFont="1" applyFill="1" applyBorder="1" applyAlignment="1" applyProtection="1">
      <alignment horizontal="center" readingOrder="1"/>
    </xf>
    <xf numFmtId="0" fontId="1" fillId="6" borderId="13" xfId="0" applyFont="1" applyFill="1" applyBorder="1" applyAlignment="1" applyProtection="1">
      <alignment horizontal="center" readingOrder="1"/>
    </xf>
    <xf numFmtId="0" fontId="1" fillId="6" borderId="4" xfId="0" applyFont="1" applyFill="1" applyBorder="1" applyAlignment="1" applyProtection="1">
      <alignment horizontal="center" readingOrder="1"/>
    </xf>
    <xf numFmtId="0" fontId="2" fillId="0" borderId="0" xfId="0" applyFont="1" applyBorder="1" applyAlignment="1" applyProtection="1">
      <alignment horizontal="center" vertical="center" readingOrder="1"/>
    </xf>
    <xf numFmtId="0" fontId="0" fillId="0" borderId="0" xfId="0" applyAlignment="1" applyProtection="1">
      <alignment horizontal="center" vertical="center" readingOrder="1"/>
    </xf>
    <xf numFmtId="2" fontId="14" fillId="0" borderId="13" xfId="0" applyNumberFormat="1" applyFont="1" applyBorder="1" applyAlignment="1" applyProtection="1">
      <alignment horizontal="center" readingOrder="1"/>
    </xf>
    <xf numFmtId="0" fontId="20" fillId="10" borderId="0" xfId="0" applyFont="1" applyFill="1" applyAlignment="1" applyProtection="1">
      <alignment horizontal="center" vertical="center" textRotation="90" readingOrder="1"/>
    </xf>
    <xf numFmtId="0" fontId="16" fillId="10" borderId="0" xfId="0" applyFont="1" applyFill="1" applyAlignment="1" applyProtection="1">
      <alignment horizontal="center" vertical="center" textRotation="90" readingOrder="1"/>
    </xf>
    <xf numFmtId="0" fontId="9" fillId="0" borderId="0" xfId="0" applyFont="1" applyBorder="1" applyAlignment="1" applyProtection="1">
      <alignment horizontal="left" readingOrder="1"/>
    </xf>
    <xf numFmtId="0" fontId="22" fillId="13" borderId="0" xfId="0" applyFont="1" applyFill="1" applyAlignment="1" applyProtection="1">
      <alignment horizontal="center" readingOrder="1"/>
    </xf>
    <xf numFmtId="0" fontId="23" fillId="13" borderId="0" xfId="0" applyFont="1" applyFill="1" applyAlignment="1" applyProtection="1">
      <alignment horizontal="center" readingOrder="1"/>
    </xf>
    <xf numFmtId="0" fontId="24" fillId="0" borderId="0" xfId="0" applyFont="1" applyAlignment="1" applyProtection="1">
      <alignment horizontal="center" readingOrder="1"/>
    </xf>
    <xf numFmtId="0" fontId="25" fillId="0" borderId="0" xfId="0" applyFont="1" applyAlignment="1" applyProtection="1">
      <alignment horizontal="center" readingOrder="1"/>
    </xf>
    <xf numFmtId="0" fontId="2" fillId="0" borderId="15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8" borderId="6" xfId="0" applyFont="1" applyFill="1" applyBorder="1" applyAlignment="1" applyProtection="1">
      <alignment horizontal="center"/>
    </xf>
    <xf numFmtId="0" fontId="2" fillId="8" borderId="21" xfId="0" applyFont="1" applyFill="1" applyBorder="1" applyAlignment="1" applyProtection="1">
      <alignment horizontal="center"/>
    </xf>
    <xf numFmtId="0" fontId="2" fillId="8" borderId="22" xfId="0" applyFont="1" applyFill="1" applyBorder="1" applyAlignment="1" applyProtection="1">
      <alignment horizontal="center"/>
    </xf>
    <xf numFmtId="0" fontId="6" fillId="0" borderId="0" xfId="0" applyFont="1" applyAlignment="1" applyProtection="1"/>
    <xf numFmtId="0" fontId="17" fillId="0" borderId="0" xfId="0" applyFont="1" applyAlignment="1" applyProtection="1"/>
    <xf numFmtId="0" fontId="2" fillId="8" borderId="18" xfId="0" applyFont="1" applyFill="1" applyBorder="1" applyAlignment="1" applyProtection="1">
      <alignment horizontal="center"/>
    </xf>
    <xf numFmtId="0" fontId="0" fillId="8" borderId="19" xfId="0" applyFill="1" applyBorder="1" applyAlignment="1" applyProtection="1">
      <alignment horizontal="center"/>
    </xf>
    <xf numFmtId="0" fontId="0" fillId="8" borderId="14" xfId="0" applyFill="1" applyBorder="1" applyAlignment="1" applyProtection="1">
      <alignment horizontal="center"/>
    </xf>
    <xf numFmtId="0" fontId="2" fillId="0" borderId="0" xfId="0" applyFont="1" applyAlignment="1" applyProtection="1"/>
    <xf numFmtId="0" fontId="0" fillId="0" borderId="0" xfId="0" applyAlignment="1" applyProtection="1"/>
    <xf numFmtId="0" fontId="8" fillId="0" borderId="0" xfId="0" applyFont="1" applyBorder="1" applyAlignment="1" applyProtection="1">
      <alignment horizontal="center" readingOrder="1"/>
    </xf>
    <xf numFmtId="0" fontId="0" fillId="0" borderId="20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microsoft.com/office/2007/relationships/hdphoto" Target="../media/hdphoto1.wdp"/><Relationship Id="rId9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microsoft.com/office/2007/relationships/hdphoto" Target="../media/hdphoto1.wdp"/><Relationship Id="rId9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10" Type="http://schemas.openxmlformats.org/officeDocument/2006/relationships/image" Target="../media/image9.jpeg"/><Relationship Id="rId4" Type="http://schemas.microsoft.com/office/2007/relationships/hdphoto" Target="../media/hdphoto1.wdp"/><Relationship Id="rId9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jpeg"/><Relationship Id="rId1" Type="http://schemas.openxmlformats.org/officeDocument/2006/relationships/image" Target="../media/image10.png"/><Relationship Id="rId5" Type="http://schemas.openxmlformats.org/officeDocument/2006/relationships/image" Target="../media/image9.jpe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434579</xdr:colOff>
      <xdr:row>1</xdr:row>
      <xdr:rowOff>233362</xdr:rowOff>
    </xdr:from>
    <xdr:to>
      <xdr:col>5</xdr:col>
      <xdr:colOff>256577</xdr:colOff>
      <xdr:row>6</xdr:row>
      <xdr:rowOff>238125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68104" y="528637"/>
          <a:ext cx="1879398" cy="1338263"/>
        </a:xfrm>
        <a:prstGeom prst="rect">
          <a:avLst/>
        </a:prstGeom>
      </xdr:spPr>
    </xdr:pic>
    <xdr:clientData/>
  </xdr:twoCellAnchor>
  <xdr:oneCellAnchor>
    <xdr:from>
      <xdr:col>0</xdr:col>
      <xdr:colOff>471487</xdr:colOff>
      <xdr:row>14</xdr:row>
      <xdr:rowOff>45839</xdr:rowOff>
    </xdr:from>
    <xdr:ext cx="17171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471487" y="3560564"/>
              <a:ext cx="17171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471487" y="3560564"/>
              <a:ext cx="17171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𝐶_𝑒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471487</xdr:colOff>
      <xdr:row>15</xdr:row>
      <xdr:rowOff>45839</xdr:rowOff>
    </xdr:from>
    <xdr:ext cx="35900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471487" y="3808214"/>
              <a:ext cx="3590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𝐶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𝑒</m:t>
                      </m:r>
                    </m:sub>
                  </m:sSub>
                </m:oMath>
              </a14:m>
              <a:r>
                <a:rPr lang="en-US" sz="1100" i="1"/>
                <a:t>min</a:t>
              </a:r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471487" y="3808214"/>
              <a:ext cx="3590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𝐶_𝑒</a:t>
              </a:r>
              <a:r>
                <a:rPr lang="en-US" sz="1100" i="1"/>
                <a:t>min</a:t>
              </a:r>
            </a:p>
          </xdr:txBody>
        </xdr:sp>
      </mc:Fallback>
    </mc:AlternateContent>
    <xdr:clientData/>
  </xdr:oneCellAnchor>
  <xdr:oneCellAnchor>
    <xdr:from>
      <xdr:col>2</xdr:col>
      <xdr:colOff>179784</xdr:colOff>
      <xdr:row>1</xdr:row>
      <xdr:rowOff>244674</xdr:rowOff>
    </xdr:from>
    <xdr:ext cx="237757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1713309" y="539949"/>
              <a:ext cx="237757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𝐾𝑁</m:t>
                        </m:r>
                      </m:num>
                      <m:den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1713309" y="539949"/>
              <a:ext cx="237757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𝐾𝑁/𝑚^2 </a:t>
              </a:r>
              <a:endParaRPr lang="en-US" sz="1100"/>
            </a:p>
          </xdr:txBody>
        </xdr:sp>
      </mc:Fallback>
    </mc:AlternateContent>
    <xdr:clientData/>
  </xdr:oneCellAnchor>
  <xdr:twoCellAnchor editAs="oneCell">
    <xdr:from>
      <xdr:col>7</xdr:col>
      <xdr:colOff>32273</xdr:colOff>
      <xdr:row>0</xdr:row>
      <xdr:rowOff>295603</xdr:rowOff>
    </xdr:from>
    <xdr:to>
      <xdr:col>10</xdr:col>
      <xdr:colOff>649671</xdr:colOff>
      <xdr:row>10</xdr:row>
      <xdr:rowOff>262694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70998" y="295603"/>
          <a:ext cx="2770048" cy="2662666"/>
        </a:xfrm>
        <a:prstGeom prst="rect">
          <a:avLst/>
        </a:prstGeom>
      </xdr:spPr>
    </xdr:pic>
    <xdr:clientData/>
  </xdr:twoCellAnchor>
  <xdr:twoCellAnchor editAs="oneCell">
    <xdr:from>
      <xdr:col>3</xdr:col>
      <xdr:colOff>413845</xdr:colOff>
      <xdr:row>12</xdr:row>
      <xdr:rowOff>39414</xdr:rowOff>
    </xdr:from>
    <xdr:to>
      <xdr:col>4</xdr:col>
      <xdr:colOff>191954</xdr:colOff>
      <xdr:row>14</xdr:row>
      <xdr:rowOff>171778</xdr:rowOff>
    </xdr:to>
    <xdr:pic>
      <xdr:nvPicPr>
        <xdr:cNvPr id="7" name="Picture 6" descr="http://us.cdn4.123rf.com/168nwm/rebirth3d/rebirth3d1103/rebirth3d110300047/9130190-woman-hand-with-index-finger-pointing-up-or-showing-number-one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3170" y="3001689"/>
          <a:ext cx="463909" cy="684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367864</xdr:colOff>
      <xdr:row>0</xdr:row>
      <xdr:rowOff>19709</xdr:rowOff>
    </xdr:from>
    <xdr:to>
      <xdr:col>2</xdr:col>
      <xdr:colOff>374431</xdr:colOff>
      <xdr:row>0</xdr:row>
      <xdr:rowOff>251891</xdr:rowOff>
    </xdr:to>
    <xdr:pic>
      <xdr:nvPicPr>
        <xdr:cNvPr id="8" name="Picture 7" descr="http://us.cdn4.123rf.com/168nwm/yupiramos/yupiramos1104/yupiramos110400012/9314562-hand-pointing-down-with-space-for-insert-text-or-design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714" y="19709"/>
          <a:ext cx="454242" cy="232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6002</xdr:colOff>
      <xdr:row>11</xdr:row>
      <xdr:rowOff>262759</xdr:rowOff>
    </xdr:from>
    <xdr:to>
      <xdr:col>10</xdr:col>
      <xdr:colOff>229914</xdr:colOff>
      <xdr:row>16</xdr:row>
      <xdr:rowOff>195894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brightnessContrast bright="-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1577" y="2958334"/>
          <a:ext cx="909712" cy="1295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</xdr:row>
      <xdr:rowOff>0</xdr:rowOff>
    </xdr:from>
    <xdr:to>
      <xdr:col>17</xdr:col>
      <xdr:colOff>165021</xdr:colOff>
      <xdr:row>11</xdr:row>
      <xdr:rowOff>28575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886700" y="828675"/>
          <a:ext cx="4270296" cy="2162175"/>
        </a:xfrm>
        <a:prstGeom prst="rect">
          <a:avLst/>
        </a:prstGeom>
      </xdr:spPr>
    </xdr:pic>
    <xdr:clientData/>
  </xdr:twoCellAnchor>
  <xdr:twoCellAnchor editAs="oneCell">
    <xdr:from>
      <xdr:col>10</xdr:col>
      <xdr:colOff>257176</xdr:colOff>
      <xdr:row>13</xdr:row>
      <xdr:rowOff>9526</xdr:rowOff>
    </xdr:from>
    <xdr:to>
      <xdr:col>17</xdr:col>
      <xdr:colOff>241495</xdr:colOff>
      <xdr:row>16</xdr:row>
      <xdr:rowOff>228600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448551" y="3228976"/>
          <a:ext cx="4784919" cy="1057274"/>
        </a:xfrm>
        <a:prstGeom prst="rect">
          <a:avLst/>
        </a:prstGeom>
      </xdr:spPr>
    </xdr:pic>
    <xdr:clientData/>
  </xdr:twoCellAnchor>
  <xdr:twoCellAnchor editAs="oneCell">
    <xdr:from>
      <xdr:col>15</xdr:col>
      <xdr:colOff>409576</xdr:colOff>
      <xdr:row>0</xdr:row>
      <xdr:rowOff>85726</xdr:rowOff>
    </xdr:from>
    <xdr:to>
      <xdr:col>16</xdr:col>
      <xdr:colOff>346433</xdr:colOff>
      <xdr:row>2</xdr:row>
      <xdr:rowOff>85725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1029951" y="85726"/>
          <a:ext cx="622657" cy="5619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577454</xdr:colOff>
      <xdr:row>1</xdr:row>
      <xdr:rowOff>23812</xdr:rowOff>
    </xdr:from>
    <xdr:to>
      <xdr:col>5</xdr:col>
      <xdr:colOff>166688</xdr:colOff>
      <xdr:row>5</xdr:row>
      <xdr:rowOff>129531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10979" y="319087"/>
          <a:ext cx="1646634" cy="1172519"/>
        </a:xfrm>
        <a:prstGeom prst="rect">
          <a:avLst/>
        </a:prstGeom>
      </xdr:spPr>
    </xdr:pic>
    <xdr:clientData/>
  </xdr:twoCellAnchor>
  <xdr:oneCellAnchor>
    <xdr:from>
      <xdr:col>0</xdr:col>
      <xdr:colOff>471487</xdr:colOff>
      <xdr:row>13</xdr:row>
      <xdr:rowOff>45839</xdr:rowOff>
    </xdr:from>
    <xdr:ext cx="17171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471487" y="3560564"/>
              <a:ext cx="17171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471487" y="3560564"/>
              <a:ext cx="17171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𝐶_𝑒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471487</xdr:colOff>
      <xdr:row>14</xdr:row>
      <xdr:rowOff>45839</xdr:rowOff>
    </xdr:from>
    <xdr:ext cx="35900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471487" y="3808214"/>
              <a:ext cx="3590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𝐶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𝑒</m:t>
                      </m:r>
                    </m:sub>
                  </m:sSub>
                </m:oMath>
              </a14:m>
              <a:r>
                <a:rPr lang="en-US" sz="1100" i="1"/>
                <a:t>min</a:t>
              </a:r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471487" y="3808214"/>
              <a:ext cx="3590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𝐶_𝑒</a:t>
              </a:r>
              <a:r>
                <a:rPr lang="en-US" sz="1100" i="1"/>
                <a:t>min</a:t>
              </a:r>
            </a:p>
          </xdr:txBody>
        </xdr:sp>
      </mc:Fallback>
    </mc:AlternateContent>
    <xdr:clientData/>
  </xdr:oneCellAnchor>
  <xdr:oneCellAnchor>
    <xdr:from>
      <xdr:col>2</xdr:col>
      <xdr:colOff>179784</xdr:colOff>
      <xdr:row>1</xdr:row>
      <xdr:rowOff>244674</xdr:rowOff>
    </xdr:from>
    <xdr:ext cx="237757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1713309" y="539949"/>
              <a:ext cx="237757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𝐾𝑁</m:t>
                        </m:r>
                      </m:num>
                      <m:den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1713309" y="539949"/>
              <a:ext cx="237757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𝐾𝑁/𝑚^2 </a:t>
              </a:r>
              <a:endParaRPr lang="en-US" sz="1100"/>
            </a:p>
          </xdr:txBody>
        </xdr:sp>
      </mc:Fallback>
    </mc:AlternateContent>
    <xdr:clientData/>
  </xdr:oneCellAnchor>
  <xdr:twoCellAnchor editAs="oneCell">
    <xdr:from>
      <xdr:col>7</xdr:col>
      <xdr:colOff>32273</xdr:colOff>
      <xdr:row>0</xdr:row>
      <xdr:rowOff>295603</xdr:rowOff>
    </xdr:from>
    <xdr:to>
      <xdr:col>10</xdr:col>
      <xdr:colOff>649671</xdr:colOff>
      <xdr:row>10</xdr:row>
      <xdr:rowOff>262694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70998" y="295603"/>
          <a:ext cx="2770048" cy="2662666"/>
        </a:xfrm>
        <a:prstGeom prst="rect">
          <a:avLst/>
        </a:prstGeom>
      </xdr:spPr>
    </xdr:pic>
    <xdr:clientData/>
  </xdr:twoCellAnchor>
  <xdr:twoCellAnchor editAs="oneCell">
    <xdr:from>
      <xdr:col>3</xdr:col>
      <xdr:colOff>413845</xdr:colOff>
      <xdr:row>11</xdr:row>
      <xdr:rowOff>39414</xdr:rowOff>
    </xdr:from>
    <xdr:to>
      <xdr:col>4</xdr:col>
      <xdr:colOff>191954</xdr:colOff>
      <xdr:row>13</xdr:row>
      <xdr:rowOff>171778</xdr:rowOff>
    </xdr:to>
    <xdr:pic>
      <xdr:nvPicPr>
        <xdr:cNvPr id="7" name="Picture 6" descr="http://us.cdn4.123rf.com/168nwm/rebirth3d/rebirth3d1103/rebirth3d110300047/9130190-woman-hand-with-index-finger-pointing-up-or-showing-number-one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3170" y="3001689"/>
          <a:ext cx="463909" cy="684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367864</xdr:colOff>
      <xdr:row>0</xdr:row>
      <xdr:rowOff>19709</xdr:rowOff>
    </xdr:from>
    <xdr:to>
      <xdr:col>2</xdr:col>
      <xdr:colOff>374431</xdr:colOff>
      <xdr:row>0</xdr:row>
      <xdr:rowOff>251891</xdr:rowOff>
    </xdr:to>
    <xdr:pic>
      <xdr:nvPicPr>
        <xdr:cNvPr id="8" name="Picture 7" descr="http://us.cdn4.123rf.com/168nwm/yupiramos/yupiramos1104/yupiramos110400012/9314562-hand-pointing-down-with-space-for-insert-text-or-design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714" y="19709"/>
          <a:ext cx="454242" cy="232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6002</xdr:colOff>
      <xdr:row>10</xdr:row>
      <xdr:rowOff>262759</xdr:rowOff>
    </xdr:from>
    <xdr:to>
      <xdr:col>10</xdr:col>
      <xdr:colOff>229914</xdr:colOff>
      <xdr:row>15</xdr:row>
      <xdr:rowOff>195894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brightnessContrast bright="-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1577" y="2958334"/>
          <a:ext cx="909712" cy="1295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</xdr:row>
      <xdr:rowOff>0</xdr:rowOff>
    </xdr:from>
    <xdr:to>
      <xdr:col>17</xdr:col>
      <xdr:colOff>165021</xdr:colOff>
      <xdr:row>11</xdr:row>
      <xdr:rowOff>28575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886700" y="828675"/>
          <a:ext cx="4270296" cy="2162175"/>
        </a:xfrm>
        <a:prstGeom prst="rect">
          <a:avLst/>
        </a:prstGeom>
      </xdr:spPr>
    </xdr:pic>
    <xdr:clientData/>
  </xdr:twoCellAnchor>
  <xdr:twoCellAnchor editAs="oneCell">
    <xdr:from>
      <xdr:col>10</xdr:col>
      <xdr:colOff>257176</xdr:colOff>
      <xdr:row>12</xdr:row>
      <xdr:rowOff>9526</xdr:rowOff>
    </xdr:from>
    <xdr:to>
      <xdr:col>17</xdr:col>
      <xdr:colOff>241495</xdr:colOff>
      <xdr:row>15</xdr:row>
      <xdr:rowOff>228600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448551" y="3228976"/>
          <a:ext cx="4784919" cy="1057274"/>
        </a:xfrm>
        <a:prstGeom prst="rect">
          <a:avLst/>
        </a:prstGeom>
      </xdr:spPr>
    </xdr:pic>
    <xdr:clientData/>
  </xdr:twoCellAnchor>
  <xdr:twoCellAnchor editAs="oneCell">
    <xdr:from>
      <xdr:col>15</xdr:col>
      <xdr:colOff>409576</xdr:colOff>
      <xdr:row>0</xdr:row>
      <xdr:rowOff>85726</xdr:rowOff>
    </xdr:from>
    <xdr:to>
      <xdr:col>16</xdr:col>
      <xdr:colOff>346433</xdr:colOff>
      <xdr:row>2</xdr:row>
      <xdr:rowOff>85725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1029951" y="85726"/>
          <a:ext cx="622657" cy="5619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663179</xdr:colOff>
      <xdr:row>2</xdr:row>
      <xdr:rowOff>100012</xdr:rowOff>
    </xdr:from>
    <xdr:to>
      <xdr:col>5</xdr:col>
      <xdr:colOff>242888</xdr:colOff>
      <xdr:row>6</xdr:row>
      <xdr:rowOff>205731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3954" y="661987"/>
          <a:ext cx="1646634" cy="1172519"/>
        </a:xfrm>
        <a:prstGeom prst="rect">
          <a:avLst/>
        </a:prstGeom>
      </xdr:spPr>
    </xdr:pic>
    <xdr:clientData/>
  </xdr:twoCellAnchor>
  <xdr:oneCellAnchor>
    <xdr:from>
      <xdr:col>0</xdr:col>
      <xdr:colOff>471487</xdr:colOff>
      <xdr:row>14</xdr:row>
      <xdr:rowOff>45839</xdr:rowOff>
    </xdr:from>
    <xdr:ext cx="17171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/>
            <xdr:cNvSpPr txBox="1"/>
          </xdr:nvSpPr>
          <xdr:spPr>
            <a:xfrm>
              <a:off x="471487" y="3046214"/>
              <a:ext cx="17171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471487" y="3046214"/>
              <a:ext cx="17171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𝐶_𝑒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471487</xdr:colOff>
      <xdr:row>15</xdr:row>
      <xdr:rowOff>45839</xdr:rowOff>
    </xdr:from>
    <xdr:ext cx="35900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/>
            <xdr:cNvSpPr txBox="1"/>
          </xdr:nvSpPr>
          <xdr:spPr>
            <a:xfrm>
              <a:off x="471487" y="3296245"/>
              <a:ext cx="3590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𝐶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𝑒</m:t>
                      </m:r>
                    </m:sub>
                  </m:sSub>
                </m:oMath>
              </a14:m>
              <a:r>
                <a:rPr lang="en-US" sz="1100" i="1"/>
                <a:t>min</a:t>
              </a:r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471487" y="3296245"/>
              <a:ext cx="3590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𝐶_𝑒</a:t>
              </a:r>
              <a:r>
                <a:rPr lang="en-US" sz="1100" i="1"/>
                <a:t>min</a:t>
              </a:r>
            </a:p>
          </xdr:txBody>
        </xdr:sp>
      </mc:Fallback>
    </mc:AlternateContent>
    <xdr:clientData/>
  </xdr:oneCellAnchor>
  <xdr:oneCellAnchor>
    <xdr:from>
      <xdr:col>2</xdr:col>
      <xdr:colOff>76200</xdr:colOff>
      <xdr:row>1</xdr:row>
      <xdr:rowOff>244673</xdr:rowOff>
    </xdr:from>
    <xdr:ext cx="628650" cy="412552"/>
    <xdr:sp macro="" textlink="">
      <xdr:nvSpPr>
        <xdr:cNvPr id="11" name="TextBox 10"/>
        <xdr:cNvSpPr txBox="1"/>
      </xdr:nvSpPr>
      <xdr:spPr>
        <a:xfrm>
          <a:off x="2466975" y="539948"/>
          <a:ext cx="628650" cy="4125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100" b="0" i="0">
              <a:latin typeface="Cambria Math" panose="02040503050406030204" pitchFamily="18" charset="0"/>
            </a:rPr>
            <a:t>𝐾𝑁/𝑚^2 </a:t>
          </a:r>
          <a:endParaRPr lang="en-US" sz="1100"/>
        </a:p>
      </xdr:txBody>
    </xdr:sp>
    <xdr:clientData/>
  </xdr:oneCellAnchor>
  <xdr:twoCellAnchor editAs="oneCell">
    <xdr:from>
      <xdr:col>7</xdr:col>
      <xdr:colOff>32273</xdr:colOff>
      <xdr:row>0</xdr:row>
      <xdr:rowOff>295603</xdr:rowOff>
    </xdr:from>
    <xdr:to>
      <xdr:col>11</xdr:col>
      <xdr:colOff>1971</xdr:colOff>
      <xdr:row>10</xdr:row>
      <xdr:rowOff>167444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57532" y="295603"/>
          <a:ext cx="2759537" cy="2686643"/>
        </a:xfrm>
        <a:prstGeom prst="rect">
          <a:avLst/>
        </a:prstGeom>
      </xdr:spPr>
    </xdr:pic>
    <xdr:clientData/>
  </xdr:twoCellAnchor>
  <xdr:twoCellAnchor editAs="oneCell">
    <xdr:from>
      <xdr:col>3</xdr:col>
      <xdr:colOff>413845</xdr:colOff>
      <xdr:row>12</xdr:row>
      <xdr:rowOff>39414</xdr:rowOff>
    </xdr:from>
    <xdr:to>
      <xdr:col>4</xdr:col>
      <xdr:colOff>191954</xdr:colOff>
      <xdr:row>14</xdr:row>
      <xdr:rowOff>171777</xdr:rowOff>
    </xdr:to>
    <xdr:pic>
      <xdr:nvPicPr>
        <xdr:cNvPr id="13" name="Picture 12" descr="http://us.cdn4.123rf.com/168nwm/rebirth3d/rebirth3d1103/rebirth3d110300047/9130190-woman-hand-with-index-finger-pointing-up-or-showing-number-one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7586" y="3028293"/>
          <a:ext cx="461282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122306</xdr:colOff>
      <xdr:row>0</xdr:row>
      <xdr:rowOff>55904</xdr:rowOff>
    </xdr:from>
    <xdr:to>
      <xdr:col>2</xdr:col>
      <xdr:colOff>484730</xdr:colOff>
      <xdr:row>2</xdr:row>
      <xdr:rowOff>984</xdr:rowOff>
    </xdr:to>
    <xdr:pic>
      <xdr:nvPicPr>
        <xdr:cNvPr id="14" name="Picture 13" descr="http://us.cdn4.123rf.com/168nwm/yupiramos/yupiramos1104/yupiramos110400012/9314562-hand-pointing-down-with-space-for-insert-text-or-design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3611802">
          <a:off x="2398463" y="132982"/>
          <a:ext cx="516580" cy="362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6002</xdr:colOff>
      <xdr:row>11</xdr:row>
      <xdr:rowOff>262759</xdr:rowOff>
    </xdr:from>
    <xdr:to>
      <xdr:col>10</xdr:col>
      <xdr:colOff>229914</xdr:colOff>
      <xdr:row>16</xdr:row>
      <xdr:rowOff>186370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brightnessContrast bright="-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7605" y="2982311"/>
          <a:ext cx="907085" cy="1306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</xdr:row>
      <xdr:rowOff>0</xdr:rowOff>
    </xdr:from>
    <xdr:to>
      <xdr:col>16</xdr:col>
      <xdr:colOff>526971</xdr:colOff>
      <xdr:row>11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886700" y="828675"/>
          <a:ext cx="4270296" cy="2162175"/>
        </a:xfrm>
        <a:prstGeom prst="rect">
          <a:avLst/>
        </a:prstGeom>
      </xdr:spPr>
    </xdr:pic>
    <xdr:clientData/>
  </xdr:twoCellAnchor>
  <xdr:twoCellAnchor editAs="oneCell">
    <xdr:from>
      <xdr:col>10</xdr:col>
      <xdr:colOff>257176</xdr:colOff>
      <xdr:row>13</xdr:row>
      <xdr:rowOff>9526</xdr:rowOff>
    </xdr:from>
    <xdr:to>
      <xdr:col>17</xdr:col>
      <xdr:colOff>3370</xdr:colOff>
      <xdr:row>17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448551" y="3228976"/>
          <a:ext cx="4784919" cy="1057274"/>
        </a:xfrm>
        <a:prstGeom prst="rect">
          <a:avLst/>
        </a:prstGeom>
      </xdr:spPr>
    </xdr:pic>
    <xdr:clientData/>
  </xdr:twoCellAnchor>
  <xdr:twoCellAnchor editAs="oneCell">
    <xdr:from>
      <xdr:col>15</xdr:col>
      <xdr:colOff>409576</xdr:colOff>
      <xdr:row>0</xdr:row>
      <xdr:rowOff>85726</xdr:rowOff>
    </xdr:from>
    <xdr:to>
      <xdr:col>16</xdr:col>
      <xdr:colOff>346433</xdr:colOff>
      <xdr:row>2</xdr:row>
      <xdr:rowOff>76200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1029951" y="85726"/>
          <a:ext cx="622657" cy="561974"/>
        </a:xfrm>
        <a:prstGeom prst="rect">
          <a:avLst/>
        </a:prstGeom>
      </xdr:spPr>
    </xdr:pic>
    <xdr:clientData/>
  </xdr:twoCellAnchor>
  <xdr:twoCellAnchor editAs="oneCell">
    <xdr:from>
      <xdr:col>12</xdr:col>
      <xdr:colOff>407333</xdr:colOff>
      <xdr:row>17</xdr:row>
      <xdr:rowOff>50987</xdr:rowOff>
    </xdr:from>
    <xdr:to>
      <xdr:col>14</xdr:col>
      <xdr:colOff>98475</xdr:colOff>
      <xdr:row>20</xdr:row>
      <xdr:rowOff>50987</xdr:rowOff>
    </xdr:to>
    <xdr:pic>
      <xdr:nvPicPr>
        <xdr:cNvPr id="15" name="Picture 14" descr="http://us.cdn4.123rf.com/168nwm/yupiramos/yupiramos1104/yupiramos110400012/9314562-hand-pointing-down-with-space-for-insert-text-or-design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7083" y="4622987"/>
          <a:ext cx="1338967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685546</xdr:colOff>
      <xdr:row>0</xdr:row>
      <xdr:rowOff>0</xdr:rowOff>
    </xdr:from>
    <xdr:to>
      <xdr:col>13</xdr:col>
      <xdr:colOff>207065</xdr:colOff>
      <xdr:row>13</xdr:row>
      <xdr:rowOff>41483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5611" y="0"/>
          <a:ext cx="3646258" cy="3395940"/>
        </a:xfrm>
        <a:prstGeom prst="rect">
          <a:avLst/>
        </a:prstGeom>
      </xdr:spPr>
    </xdr:pic>
    <xdr:clientData/>
  </xdr:twoCellAnchor>
  <xdr:oneCellAnchor>
    <xdr:from>
      <xdr:col>7</xdr:col>
      <xdr:colOff>74544</xdr:colOff>
      <xdr:row>5</xdr:row>
      <xdr:rowOff>91108</xdr:rowOff>
    </xdr:from>
    <xdr:ext cx="480391" cy="364435"/>
    <xdr:sp macro="" textlink="">
      <xdr:nvSpPr>
        <xdr:cNvPr id="3" name="TextBox 2"/>
        <xdr:cNvSpPr txBox="1"/>
      </xdr:nvSpPr>
      <xdr:spPr>
        <a:xfrm>
          <a:off x="5234609" y="1416325"/>
          <a:ext cx="480391" cy="3644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100" b="0" i="0">
              <a:latin typeface="Cambria Math" panose="02040503050406030204" pitchFamily="18" charset="0"/>
            </a:rPr>
            <a:t>𝐾𝑁/𝑚</a:t>
          </a:r>
          <a:endParaRPr lang="en-US" sz="1100"/>
        </a:p>
      </xdr:txBody>
    </xdr:sp>
    <xdr:clientData/>
  </xdr:oneCellAnchor>
  <xdr:twoCellAnchor editAs="oneCell">
    <xdr:from>
      <xdr:col>3</xdr:col>
      <xdr:colOff>215348</xdr:colOff>
      <xdr:row>0</xdr:row>
      <xdr:rowOff>41413</xdr:rowOff>
    </xdr:from>
    <xdr:to>
      <xdr:col>4</xdr:col>
      <xdr:colOff>6567</xdr:colOff>
      <xdr:row>0</xdr:row>
      <xdr:rowOff>178345</xdr:rowOff>
    </xdr:to>
    <xdr:pic>
      <xdr:nvPicPr>
        <xdr:cNvPr id="4" name="Picture 3" descr="http://us.cdn4.123rf.com/168nwm/yupiramos/yupiramos1104/yupiramos110400012/9314562-hand-pointing-down-with-space-for-insert-text-or-design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5587" y="41413"/>
          <a:ext cx="454242" cy="232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405847</xdr:colOff>
      <xdr:row>7</xdr:row>
      <xdr:rowOff>124240</xdr:rowOff>
    </xdr:from>
    <xdr:to>
      <xdr:col>5</xdr:col>
      <xdr:colOff>182300</xdr:colOff>
      <xdr:row>10</xdr:row>
      <xdr:rowOff>55335</xdr:rowOff>
    </xdr:to>
    <xdr:pic>
      <xdr:nvPicPr>
        <xdr:cNvPr id="6" name="Picture 5" descr="http://us.cdn4.123rf.com/168nwm/rebirth3d/rebirth3d1103/rebirth3d110300047/9130190-woman-hand-with-index-finger-pointing-up-or-showing-number-one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3543" y="1979544"/>
          <a:ext cx="463909" cy="684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52818</xdr:colOff>
      <xdr:row>12</xdr:row>
      <xdr:rowOff>115957</xdr:rowOff>
    </xdr:from>
    <xdr:to>
      <xdr:col>12</xdr:col>
      <xdr:colOff>451039</xdr:colOff>
      <xdr:row>14</xdr:row>
      <xdr:rowOff>173935</xdr:rowOff>
    </xdr:to>
    <xdr:pic>
      <xdr:nvPicPr>
        <xdr:cNvPr id="7" name="Picture 6" descr="http://us.cdn4.123rf.com/168nwm/yupiramos/yupiramos1104/yupiramos110400012/9314562-hand-pointing-down-with-space-for-insert-text-or-design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709" y="3221935"/>
          <a:ext cx="1085678" cy="554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deghalavi@yahoo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deghalavi@yahoo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adeghalavi@yahoo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Normal="100" workbookViewId="0">
      <selection activeCell="C9" sqref="C9"/>
    </sheetView>
  </sheetViews>
  <sheetFormatPr defaultColWidth="9" defaultRowHeight="14.25"/>
  <cols>
    <col min="1" max="1" width="14.28515625" style="1" bestFit="1" customWidth="1"/>
    <col min="2" max="2" width="5.85546875" style="1" customWidth="1"/>
    <col min="3" max="6" width="9" style="1"/>
    <col min="7" max="7" width="10" style="1" customWidth="1"/>
    <col min="8" max="8" width="10.28515625" style="1" customWidth="1"/>
    <col min="9" max="16384" width="9" style="1"/>
  </cols>
  <sheetData>
    <row r="1" spans="1:14" ht="15" thickBot="1">
      <c r="A1" s="45" t="s">
        <v>13</v>
      </c>
      <c r="B1" s="45"/>
      <c r="M1" s="4" t="s">
        <v>20</v>
      </c>
      <c r="N1" s="15">
        <f>N3</f>
        <v>1.0029821603181617</v>
      </c>
    </row>
    <row r="2" spans="1:14" ht="15.75" thickTop="1" thickBot="1">
      <c r="A2" s="2" t="s">
        <v>18</v>
      </c>
      <c r="B2" s="10" t="s">
        <v>19</v>
      </c>
      <c r="C2" s="4">
        <f>LOOKUP(B2,M1:M2,N1:N2)</f>
        <v>0.7</v>
      </c>
      <c r="K2" s="3">
        <v>0.496</v>
      </c>
      <c r="L2" s="4">
        <v>0.8</v>
      </c>
      <c r="M2" s="4" t="s">
        <v>19</v>
      </c>
      <c r="N2" s="4">
        <f>B17</f>
        <v>0.7</v>
      </c>
    </row>
    <row r="3" spans="1:14" ht="15.75" thickTop="1" thickBot="1">
      <c r="A3" s="2" t="s">
        <v>0</v>
      </c>
      <c r="B3" s="10">
        <v>0.61299999999999999</v>
      </c>
      <c r="K3" s="3">
        <v>0.61299999999999999</v>
      </c>
      <c r="L3" s="4">
        <v>1</v>
      </c>
      <c r="M3" s="4" t="s">
        <v>20</v>
      </c>
      <c r="N3" s="15">
        <f>C17</f>
        <v>1.0029821603181617</v>
      </c>
    </row>
    <row r="4" spans="1:14" ht="15.75" thickTop="1" thickBot="1">
      <c r="A4" s="2" t="s">
        <v>1</v>
      </c>
      <c r="B4" s="10">
        <v>1</v>
      </c>
      <c r="K4" s="3">
        <v>0.74099999999999999</v>
      </c>
      <c r="L4" s="4">
        <v>1.1499999999999999</v>
      </c>
      <c r="M4" s="4"/>
    </row>
    <row r="5" spans="1:14" ht="15.75" thickTop="1" thickBot="1">
      <c r="A5" s="5" t="s">
        <v>6</v>
      </c>
      <c r="B5" s="11">
        <v>9.3000000000000007</v>
      </c>
      <c r="C5" s="1" t="s">
        <v>11</v>
      </c>
      <c r="K5" s="3">
        <v>1.036</v>
      </c>
      <c r="L5" s="4">
        <v>1.25</v>
      </c>
      <c r="M5" s="4"/>
    </row>
    <row r="6" spans="1:14" ht="15.75" thickTop="1" thickBot="1">
      <c r="A6" s="5" t="s">
        <v>10</v>
      </c>
      <c r="B6" s="12">
        <v>11</v>
      </c>
      <c r="C6" s="1" t="s">
        <v>11</v>
      </c>
    </row>
    <row r="7" spans="1:14" ht="15.75" thickTop="1" thickBot="1">
      <c r="A7" s="6" t="s">
        <v>8</v>
      </c>
      <c r="B7" s="11">
        <v>6</v>
      </c>
      <c r="C7" s="17"/>
      <c r="D7" s="18"/>
      <c r="E7" s="18"/>
      <c r="F7" s="18"/>
    </row>
    <row r="8" spans="1:14" ht="15.75" thickTop="1" thickBot="1">
      <c r="A8" s="5" t="s">
        <v>22</v>
      </c>
      <c r="B8" s="11">
        <v>15</v>
      </c>
      <c r="C8" s="16">
        <v>1</v>
      </c>
      <c r="D8" s="16">
        <v>2</v>
      </c>
      <c r="E8" s="16">
        <v>3</v>
      </c>
      <c r="F8" s="16">
        <v>4</v>
      </c>
    </row>
    <row r="9" spans="1:14" ht="16.5" thickTop="1" thickBot="1">
      <c r="A9" s="46" t="s">
        <v>9</v>
      </c>
      <c r="B9" s="8" t="s">
        <v>2</v>
      </c>
      <c r="C9" s="9">
        <f>(('عمود بر لبه'!C9-'0-5'!C8)*B20)+('0-5'!C8)</f>
        <v>2.4855429649650125</v>
      </c>
      <c r="D9" s="9">
        <f>(('عمود بر لبه'!D9-'0-5'!D8)*C20)+('0-5'!D8)</f>
        <v>3.6889683856501985</v>
      </c>
      <c r="E9" s="9">
        <f>(('عمود بر لبه'!E9-'0-5'!E8)*D20)+('0-5'!E8)</f>
        <v>0.55334525784752975</v>
      </c>
      <c r="F9" s="9">
        <f>(('عمود بر لبه'!F9-'0-5'!F8)*E20)+('0-5'!F8)</f>
        <v>1.4755873542600795</v>
      </c>
      <c r="G9" s="48" t="s">
        <v>12</v>
      </c>
    </row>
    <row r="10" spans="1:14" ht="16.5" thickTop="1" thickBot="1">
      <c r="A10" s="47"/>
      <c r="B10" s="8" t="s">
        <v>3</v>
      </c>
      <c r="C10" s="9">
        <f>(('عمود بر لبه'!C10-'0-5'!C9)*B21)+('0-5'!C9)</f>
        <v>3.5045199663676883</v>
      </c>
      <c r="D10" s="9">
        <f>(('عمود بر لبه'!D10-'0-5'!D9)*C21)+('0-5'!D9)</f>
        <v>6.4556946748878472</v>
      </c>
      <c r="E10" s="9">
        <f>(('عمود بر لبه'!E10-'0-5'!E9)*D21)+('0-5'!E9)</f>
        <v>1.8444841928250992</v>
      </c>
      <c r="F10" s="9">
        <f>(('عمود بر لبه'!F10-'0-5'!F9)*E21)+('0-5'!F9)</f>
        <v>2.4900536603138841</v>
      </c>
      <c r="G10" s="49"/>
    </row>
    <row r="11" spans="1:14" ht="16.5" thickTop="1" thickBot="1">
      <c r="A11" s="47"/>
      <c r="B11" s="8" t="s">
        <v>4</v>
      </c>
      <c r="C11" s="9">
        <f>(('عمود بر لبه'!C11-'0-5'!C10)*B22)+('0-5'!C10)</f>
        <v>2.7667262892376487</v>
      </c>
      <c r="D11" s="9">
        <f>(('عمود بر لبه'!D11-'0-5'!D10)*C22)+('0-5'!D10)</f>
        <v>5.5334525784752975</v>
      </c>
      <c r="E11" s="9">
        <f>(('عمود بر لبه'!E11-'0-5'!E10)*D22)+('0-5'!E10)</f>
        <v>2.582277869955139</v>
      </c>
      <c r="F11" s="9">
        <f>(('عمود بر لبه'!F11-'0-5'!F10)*E22)+('0-5'!F10)</f>
        <v>2.0289326121076092</v>
      </c>
      <c r="G11" s="49"/>
    </row>
    <row r="12" spans="1:14" ht="16.5" thickTop="1" thickBot="1">
      <c r="A12" s="47"/>
      <c r="B12" s="8" t="s">
        <v>5</v>
      </c>
      <c r="C12" s="9">
        <f>(('عمود بر لبه'!C12-'0-5'!C11)*B23)+('0-5'!C11)</f>
        <v>1.3833631446188244</v>
      </c>
      <c r="D12" s="9">
        <f>(('عمود بر لبه'!D12-'0-5'!D11)*C23)+('0-5'!D11)</f>
        <v>2.3978294506726292</v>
      </c>
      <c r="E12" s="9">
        <f>(('عمود بر لبه'!E12-'0-5'!E11)*D23)+('0-5'!E11)</f>
        <v>1.2911389349775695</v>
      </c>
      <c r="F12" s="9">
        <f>(('عمود بر لبه'!F12-'0-5'!F11)*E23)+('0-5'!F11)</f>
        <v>1.0144663060538046</v>
      </c>
      <c r="G12" s="50"/>
    </row>
    <row r="13" spans="1:14" ht="15" thickTop="1"/>
    <row r="14" spans="1:14" ht="15.75" thickBot="1">
      <c r="A14" s="4" t="s">
        <v>7</v>
      </c>
      <c r="B14" s="4">
        <f>(B5+B6)/2</f>
        <v>10.15</v>
      </c>
      <c r="G14" s="51" t="s">
        <v>25</v>
      </c>
      <c r="H14" s="52"/>
    </row>
    <row r="15" spans="1:14" ht="15">
      <c r="B15" s="14">
        <f>0.7*(B14/12)^0.3</f>
        <v>0.66570754451850001</v>
      </c>
      <c r="C15" s="14">
        <f>(B14/10)^0.2</f>
        <v>1.0029821603181617</v>
      </c>
      <c r="F15" s="53" t="s">
        <v>15</v>
      </c>
      <c r="G15" s="54"/>
      <c r="H15" s="54"/>
      <c r="I15" s="55"/>
    </row>
    <row r="16" spans="1:14" ht="15.75" thickBot="1">
      <c r="B16" s="13">
        <v>0.7</v>
      </c>
      <c r="C16" s="14">
        <v>0.9</v>
      </c>
      <c r="D16" s="56" t="s">
        <v>14</v>
      </c>
      <c r="E16" s="56"/>
      <c r="F16" s="57" t="s">
        <v>17</v>
      </c>
      <c r="G16" s="58"/>
      <c r="H16" s="58"/>
      <c r="I16" s="59"/>
    </row>
    <row r="17" spans="1:8" ht="15">
      <c r="B17" s="13">
        <f>MAX(B15:B16)</f>
        <v>0.7</v>
      </c>
      <c r="C17" s="14">
        <f>MAX(C15:C16)</f>
        <v>1.0029821603181617</v>
      </c>
      <c r="G17" s="43" t="s">
        <v>16</v>
      </c>
      <c r="H17" s="44"/>
    </row>
    <row r="18" spans="1:8">
      <c r="A18" s="1" t="s">
        <v>23</v>
      </c>
      <c r="B18" s="13">
        <f>(ATAN(B19))*(180/3.14)</f>
        <v>12.777720324556567</v>
      </c>
    </row>
    <row r="19" spans="1:8">
      <c r="A19" s="13"/>
      <c r="B19" s="13">
        <f>(B6-B5)/(B8*0.5)</f>
        <v>0.22666666666666657</v>
      </c>
    </row>
    <row r="20" spans="1:8">
      <c r="A20" s="13" t="s">
        <v>24</v>
      </c>
      <c r="B20" s="13">
        <f>(B18-5)/15</f>
        <v>0.51851468830377112</v>
      </c>
    </row>
  </sheetData>
  <sheetProtection formatCells="0" formatColumns="0" formatRows="0" insertColumns="0" insertRows="0" insertHyperlinks="0" deleteColumns="0" deleteRows="0" sort="0" autoFilter="0" pivotTables="0"/>
  <dataConsolidate/>
  <mergeCells count="8">
    <mergeCell ref="G17:H17"/>
    <mergeCell ref="A1:B1"/>
    <mergeCell ref="A9:A12"/>
    <mergeCell ref="G9:G12"/>
    <mergeCell ref="G14:H14"/>
    <mergeCell ref="F15:I15"/>
    <mergeCell ref="D16:E16"/>
    <mergeCell ref="F16:I16"/>
  </mergeCells>
  <dataValidations count="3">
    <dataValidation type="list" allowBlank="1" showInputMessage="1" showErrorMessage="1" sqref="B2">
      <formula1>$M$2:$M$3</formula1>
    </dataValidation>
    <dataValidation type="list" allowBlank="1" showInputMessage="1" showErrorMessage="1" sqref="B4">
      <formula1>$L$2:$L$5</formula1>
    </dataValidation>
    <dataValidation type="list" allowBlank="1" showInputMessage="1" showErrorMessage="1" sqref="B3">
      <formula1>$K$2:$K$5</formula1>
    </dataValidation>
  </dataValidations>
  <hyperlinks>
    <hyperlink ref="G17" r:id="rId1"/>
  </hyperlinks>
  <pageMargins left="0.7" right="0.7" top="0.75" bottom="0.75" header="0.3" footer="0.3"/>
  <pageSetup orientation="portrait" horizontalDpi="200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Normal="100" workbookViewId="0">
      <selection activeCell="C8" sqref="C8"/>
    </sheetView>
  </sheetViews>
  <sheetFormatPr defaultColWidth="9" defaultRowHeight="14.25"/>
  <cols>
    <col min="1" max="1" width="14.28515625" style="1" bestFit="1" customWidth="1"/>
    <col min="2" max="2" width="5.85546875" style="1" customWidth="1"/>
    <col min="3" max="6" width="9" style="1"/>
    <col min="7" max="7" width="10" style="1" customWidth="1"/>
    <col min="8" max="8" width="10.28515625" style="1" customWidth="1"/>
    <col min="9" max="16384" width="9" style="1"/>
  </cols>
  <sheetData>
    <row r="1" spans="1:14" ht="15" thickBot="1">
      <c r="A1" s="45" t="s">
        <v>13</v>
      </c>
      <c r="B1" s="45"/>
      <c r="M1" s="4" t="s">
        <v>20</v>
      </c>
      <c r="N1" s="15">
        <f>N3</f>
        <v>1.0029821603181617</v>
      </c>
    </row>
    <row r="2" spans="1:14" ht="15.75" thickTop="1" thickBot="1">
      <c r="A2" s="2" t="s">
        <v>18</v>
      </c>
      <c r="B2" s="10" t="s">
        <v>20</v>
      </c>
      <c r="C2" s="4">
        <f>LOOKUP(B2,M1:M2,N1:N2)</f>
        <v>1.0029821603181617</v>
      </c>
      <c r="K2" s="3">
        <v>0.496</v>
      </c>
      <c r="L2" s="4">
        <v>0.8</v>
      </c>
      <c r="M2" s="4" t="s">
        <v>19</v>
      </c>
      <c r="N2" s="4">
        <f>B16</f>
        <v>0.7</v>
      </c>
    </row>
    <row r="3" spans="1:14" ht="15.75" thickTop="1" thickBot="1">
      <c r="A3" s="2" t="s">
        <v>0</v>
      </c>
      <c r="B3" s="10">
        <v>0.61299999999999999</v>
      </c>
      <c r="K3" s="3">
        <v>0.61299999999999999</v>
      </c>
      <c r="L3" s="4">
        <v>1</v>
      </c>
      <c r="M3" s="4" t="s">
        <v>20</v>
      </c>
      <c r="N3" s="15">
        <f>C16</f>
        <v>1.0029821603181617</v>
      </c>
    </row>
    <row r="4" spans="1:14" ht="15.75" thickTop="1" thickBot="1">
      <c r="A4" s="2" t="s">
        <v>1</v>
      </c>
      <c r="B4" s="10">
        <v>1</v>
      </c>
      <c r="K4" s="3">
        <v>0.74099999999999999</v>
      </c>
      <c r="L4" s="4">
        <v>1.1499999999999999</v>
      </c>
      <c r="M4" s="4"/>
    </row>
    <row r="5" spans="1:14" ht="15.75" thickTop="1" thickBot="1">
      <c r="A5" s="5" t="s">
        <v>6</v>
      </c>
      <c r="B5" s="11">
        <v>9.3000000000000007</v>
      </c>
      <c r="C5" s="1" t="s">
        <v>11</v>
      </c>
      <c r="K5" s="3">
        <v>1.036</v>
      </c>
      <c r="L5" s="4">
        <v>1.25</v>
      </c>
      <c r="M5" s="4"/>
    </row>
    <row r="6" spans="1:14" ht="15.75" thickTop="1" thickBot="1">
      <c r="A6" s="5" t="s">
        <v>10</v>
      </c>
      <c r="B6" s="12">
        <v>11</v>
      </c>
      <c r="C6" s="1" t="s">
        <v>11</v>
      </c>
    </row>
    <row r="7" spans="1:14" ht="15.75" thickTop="1" thickBot="1">
      <c r="A7" s="6" t="s">
        <v>8</v>
      </c>
      <c r="B7" s="11">
        <v>6</v>
      </c>
      <c r="C7" s="7">
        <v>1</v>
      </c>
      <c r="D7" s="7">
        <v>2</v>
      </c>
      <c r="E7" s="7">
        <v>3</v>
      </c>
      <c r="F7" s="7">
        <v>4</v>
      </c>
    </row>
    <row r="8" spans="1:14" ht="16.5" thickTop="1" thickBot="1">
      <c r="A8" s="60" t="s">
        <v>9</v>
      </c>
      <c r="B8" s="8" t="s">
        <v>2</v>
      </c>
      <c r="C8" s="9">
        <f>B3*B4*B7*C2*1.15*0.5</f>
        <v>2.1211568217488641</v>
      </c>
      <c r="D8" s="9">
        <f>B3*B4*B7*C2*2*0.5</f>
        <v>3.6889683856501985</v>
      </c>
      <c r="E8" s="9">
        <f>B3*B4*B7*C2*0.3*0.5</f>
        <v>0.55334525784752975</v>
      </c>
      <c r="F8" s="9">
        <f>B3*B4*B7*C2*0.8*0.5</f>
        <v>1.4755873542600795</v>
      </c>
      <c r="G8" s="48" t="s">
        <v>12</v>
      </c>
    </row>
    <row r="9" spans="1:14" ht="16.5" thickTop="1" thickBot="1">
      <c r="A9" s="61"/>
      <c r="B9" s="8" t="s">
        <v>3</v>
      </c>
      <c r="C9" s="9">
        <f>0.5*C10+C8</f>
        <v>3.5045199663676883</v>
      </c>
      <c r="D9" s="9">
        <f t="shared" ref="D9:F9" si="0">0.5*D10+D8</f>
        <v>6.4556946748878472</v>
      </c>
      <c r="E9" s="9">
        <f t="shared" si="0"/>
        <v>1.8444841928250992</v>
      </c>
      <c r="F9" s="9">
        <f t="shared" si="0"/>
        <v>2.4900536603138841</v>
      </c>
      <c r="G9" s="49"/>
    </row>
    <row r="10" spans="1:14" ht="16.5" thickTop="1" thickBot="1">
      <c r="A10" s="61"/>
      <c r="B10" s="8" t="s">
        <v>4</v>
      </c>
      <c r="C10" s="9">
        <f>B3*B4*B7*C2*0.75</f>
        <v>2.7667262892376487</v>
      </c>
      <c r="D10" s="9">
        <f>B3*B4*B7*C2*1.5</f>
        <v>5.5334525784752975</v>
      </c>
      <c r="E10" s="9">
        <f>B3*B4*B7*C2*0.7</f>
        <v>2.582277869955139</v>
      </c>
      <c r="F10" s="9">
        <f>B3*B4*B7*C2*0.55</f>
        <v>2.0289326121076092</v>
      </c>
      <c r="G10" s="49"/>
    </row>
    <row r="11" spans="1:14" ht="16.5" thickTop="1" thickBot="1">
      <c r="A11" s="61"/>
      <c r="B11" s="8" t="s">
        <v>5</v>
      </c>
      <c r="C11" s="9">
        <f>B3*B4*B7*C2*0.75*0.5</f>
        <v>1.3833631446188244</v>
      </c>
      <c r="D11" s="9">
        <f>B3*B4*B7*C2*1.3*0.5</f>
        <v>2.3978294506726292</v>
      </c>
      <c r="E11" s="9">
        <f>B3*B4*B7*C2*0.7*0.5</f>
        <v>1.2911389349775695</v>
      </c>
      <c r="F11" s="9">
        <f>B3*B4*B7*C2*0.55*0.5</f>
        <v>1.0144663060538046</v>
      </c>
      <c r="G11" s="50"/>
    </row>
    <row r="12" spans="1:14" ht="15" thickTop="1"/>
    <row r="13" spans="1:14" ht="15.75" thickBot="1">
      <c r="A13" s="4" t="s">
        <v>7</v>
      </c>
      <c r="B13" s="4">
        <f>(B5+B6)/2</f>
        <v>10.15</v>
      </c>
      <c r="G13" s="51" t="s">
        <v>21</v>
      </c>
      <c r="H13" s="52"/>
    </row>
    <row r="14" spans="1:14" ht="15">
      <c r="B14" s="14">
        <f>0.7*(B13/12)^0.3</f>
        <v>0.66570754451850001</v>
      </c>
      <c r="C14" s="14">
        <f>(B13/10)^0.2</f>
        <v>1.0029821603181617</v>
      </c>
      <c r="F14" s="53" t="s">
        <v>15</v>
      </c>
      <c r="G14" s="54"/>
      <c r="H14" s="54"/>
      <c r="I14" s="55"/>
    </row>
    <row r="15" spans="1:14" ht="15.75" thickBot="1">
      <c r="B15" s="13">
        <v>0.7</v>
      </c>
      <c r="C15" s="14">
        <v>0.9</v>
      </c>
      <c r="D15" s="56" t="s">
        <v>14</v>
      </c>
      <c r="E15" s="56"/>
      <c r="F15" s="57" t="s">
        <v>17</v>
      </c>
      <c r="G15" s="58"/>
      <c r="H15" s="58"/>
      <c r="I15" s="59"/>
    </row>
    <row r="16" spans="1:14" ht="15">
      <c r="B16" s="13">
        <f>MAX(B14:B15)</f>
        <v>0.7</v>
      </c>
      <c r="C16" s="14">
        <f>MAX(C14:C15)</f>
        <v>1.0029821603181617</v>
      </c>
      <c r="G16" s="43" t="s">
        <v>16</v>
      </c>
      <c r="H16" s="44"/>
    </row>
  </sheetData>
  <sheetProtection formatCells="0" formatColumns="0" formatRows="0" insertColumns="0" insertRows="0" insertHyperlinks="0" deleteColumns="0" deleteRows="0" sort="0" autoFilter="0" pivotTables="0"/>
  <dataConsolidate/>
  <mergeCells count="8">
    <mergeCell ref="G16:H16"/>
    <mergeCell ref="A1:B1"/>
    <mergeCell ref="A8:A11"/>
    <mergeCell ref="G8:G11"/>
    <mergeCell ref="G13:H13"/>
    <mergeCell ref="F14:I14"/>
    <mergeCell ref="D15:E15"/>
    <mergeCell ref="F15:I15"/>
  </mergeCells>
  <dataValidations count="3">
    <dataValidation type="list" allowBlank="1" showInputMessage="1" showErrorMessage="1" sqref="B2">
      <formula1>$M$2:$M$3</formula1>
    </dataValidation>
    <dataValidation type="list" allowBlank="1" showInputMessage="1" showErrorMessage="1" sqref="B4">
      <formula1>$L$2:$L$5</formula1>
    </dataValidation>
    <dataValidation type="list" allowBlank="1" showInputMessage="1" showErrorMessage="1" sqref="B3">
      <formula1>$K$2:$K$5</formula1>
    </dataValidation>
  </dataValidations>
  <hyperlinks>
    <hyperlink ref="G16" r:id="rId1"/>
  </hyperlinks>
  <pageMargins left="0.7" right="0.7" top="0.75" bottom="0.75" header="0.3" footer="0.3"/>
  <pageSetup orientation="portrait" horizontalDpi="200" verticalDpi="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zoomScaleNormal="100" workbookViewId="0">
      <selection activeCell="B6" sqref="B6"/>
    </sheetView>
  </sheetViews>
  <sheetFormatPr defaultColWidth="9" defaultRowHeight="14.25"/>
  <cols>
    <col min="1" max="1" width="17.140625" style="1" bestFit="1" customWidth="1"/>
    <col min="2" max="2" width="13.7109375" style="1" bestFit="1" customWidth="1"/>
    <col min="3" max="3" width="9.140625" style="1" bestFit="1" customWidth="1"/>
    <col min="4" max="6" width="9" style="1"/>
    <col min="7" max="7" width="10" style="1" customWidth="1"/>
    <col min="8" max="8" width="10.28515625" style="1" customWidth="1"/>
    <col min="9" max="12" width="9" style="1"/>
    <col min="13" max="13" width="12.5703125" style="1" bestFit="1" customWidth="1"/>
    <col min="14" max="19" width="9" style="1"/>
    <col min="20" max="20" width="12.5703125" style="1" bestFit="1" customWidth="1"/>
    <col min="21" max="16384" width="9" style="1"/>
  </cols>
  <sheetData>
    <row r="1" spans="1:21" ht="15.75" thickTop="1" thickBot="1">
      <c r="A1" s="2" t="s">
        <v>61</v>
      </c>
      <c r="B1" s="10" t="s">
        <v>60</v>
      </c>
      <c r="D1" s="3">
        <f>LOOKUP(B1,S3:S4,T3:T4)</f>
        <v>-0.3</v>
      </c>
      <c r="E1" s="3">
        <f>LOOKUP(B1,S3:S4,U3:U4)</f>
        <v>0.45</v>
      </c>
      <c r="M1" s="4" t="s">
        <v>20</v>
      </c>
      <c r="N1" s="15">
        <f>N3</f>
        <v>0.9791483623609768</v>
      </c>
    </row>
    <row r="2" spans="1:21" ht="15.75" thickTop="1" thickBot="1">
      <c r="A2" s="2" t="s">
        <v>18</v>
      </c>
      <c r="B2" s="10" t="s">
        <v>20</v>
      </c>
      <c r="C2" s="4">
        <f>LOOKUP(B2,M1:M2,N1:N2)</f>
        <v>0.9791483623609768</v>
      </c>
      <c r="D2" s="65" t="s">
        <v>13</v>
      </c>
      <c r="E2" s="65"/>
      <c r="G2" s="63" t="s">
        <v>48</v>
      </c>
      <c r="K2" s="3">
        <v>0.496</v>
      </c>
      <c r="L2" s="4">
        <v>0.8</v>
      </c>
      <c r="M2" s="4" t="s">
        <v>19</v>
      </c>
      <c r="N2" s="4">
        <f>B17</f>
        <v>0.7</v>
      </c>
    </row>
    <row r="3" spans="1:21" ht="15.75" thickTop="1" thickBot="1">
      <c r="A3" s="2" t="s">
        <v>0</v>
      </c>
      <c r="B3" s="10">
        <v>0.74099999999999999</v>
      </c>
      <c r="G3" s="64"/>
      <c r="K3" s="3">
        <v>0.61299999999999999</v>
      </c>
      <c r="L3" s="4">
        <v>1</v>
      </c>
      <c r="M3" s="4" t="s">
        <v>20</v>
      </c>
      <c r="N3" s="15">
        <f>C17</f>
        <v>0.9791483623609768</v>
      </c>
      <c r="S3" s="3" t="s">
        <v>59</v>
      </c>
      <c r="T3" s="3">
        <v>-0.7</v>
      </c>
      <c r="U3" s="3">
        <v>0.7</v>
      </c>
    </row>
    <row r="4" spans="1:21" ht="15.75" thickTop="1" thickBot="1">
      <c r="A4" s="2" t="s">
        <v>1</v>
      </c>
      <c r="B4" s="10">
        <v>1</v>
      </c>
      <c r="G4" s="64"/>
      <c r="K4" s="3">
        <v>0.74099999999999999</v>
      </c>
      <c r="L4" s="4">
        <v>1.1499999999999999</v>
      </c>
      <c r="M4" s="4"/>
      <c r="S4" s="3" t="s">
        <v>60</v>
      </c>
      <c r="T4" s="3">
        <v>-0.3</v>
      </c>
      <c r="U4" s="3">
        <v>0.45</v>
      </c>
    </row>
    <row r="5" spans="1:21" ht="15.75" thickTop="1" thickBot="1">
      <c r="A5" s="5" t="s">
        <v>6</v>
      </c>
      <c r="B5" s="11">
        <v>8</v>
      </c>
      <c r="C5" s="1" t="s">
        <v>11</v>
      </c>
      <c r="G5" s="64"/>
      <c r="K5" s="3">
        <v>1.036</v>
      </c>
      <c r="L5" s="4">
        <v>1.25</v>
      </c>
      <c r="M5" s="4"/>
    </row>
    <row r="6" spans="1:21" ht="15.75" thickTop="1" thickBot="1">
      <c r="A6" s="5" t="s">
        <v>10</v>
      </c>
      <c r="B6" s="12">
        <v>10</v>
      </c>
      <c r="C6" s="1" t="s">
        <v>11</v>
      </c>
      <c r="G6" s="64"/>
    </row>
    <row r="7" spans="1:21" ht="15.75" thickTop="1" thickBot="1">
      <c r="A7" s="6" t="s">
        <v>22</v>
      </c>
      <c r="B7" s="12">
        <v>20</v>
      </c>
      <c r="G7" s="64"/>
    </row>
    <row r="8" spans="1:21" ht="15.75" thickTop="1" thickBot="1">
      <c r="A8" s="6" t="s">
        <v>8</v>
      </c>
      <c r="B8" s="11">
        <v>6</v>
      </c>
      <c r="C8" s="7">
        <v>1</v>
      </c>
      <c r="D8" s="7">
        <v>2</v>
      </c>
      <c r="E8" s="7">
        <v>3</v>
      </c>
      <c r="F8" s="7">
        <v>4</v>
      </c>
    </row>
    <row r="9" spans="1:21" ht="16.5" thickTop="1" thickBot="1">
      <c r="A9" s="60" t="s">
        <v>9</v>
      </c>
      <c r="B9" s="8" t="s">
        <v>2</v>
      </c>
      <c r="C9" s="9">
        <f>C2*B3*B4*B8*0.5*I23</f>
        <v>2.8239067176258223</v>
      </c>
      <c r="D9" s="9">
        <f>-C2*B3*B4*B8*0.5*J23</f>
        <v>-4.3532936190569025</v>
      </c>
      <c r="E9" s="9">
        <f>-C2*B3*B4*B8*0.5*K23</f>
        <v>-1.5694594333388301</v>
      </c>
      <c r="F9" s="9">
        <f>-C2*B3*B4*B8*0.5*L23</f>
        <v>-2.1079036038148788</v>
      </c>
      <c r="G9" s="48" t="s">
        <v>12</v>
      </c>
    </row>
    <row r="10" spans="1:21" ht="16.5" thickTop="1" thickBot="1">
      <c r="A10" s="61"/>
      <c r="B10" s="8" t="s">
        <v>3</v>
      </c>
      <c r="C10" s="9">
        <f>0.5*C11+C9</f>
        <v>4.6855081723922343</v>
      </c>
      <c r="D10" s="9">
        <f t="shared" ref="D10:F10" si="0">0.5*D11+D9</f>
        <v>-7.1829344714438896</v>
      </c>
      <c r="E10" s="9">
        <f t="shared" si="0"/>
        <v>-3.276405278104805</v>
      </c>
      <c r="F10" s="9">
        <f t="shared" si="0"/>
        <v>-3.5341756966756011</v>
      </c>
      <c r="G10" s="49"/>
    </row>
    <row r="11" spans="1:21" ht="16.5" thickTop="1" thickBot="1">
      <c r="A11" s="61"/>
      <c r="B11" s="8" t="s">
        <v>4</v>
      </c>
      <c r="C11" s="9">
        <f>C12*2</f>
        <v>3.7232029095328243</v>
      </c>
      <c r="D11" s="9">
        <f t="shared" ref="D11:F11" si="1">D12*2</f>
        <v>-5.6592817047739734</v>
      </c>
      <c r="E11" s="9">
        <f t="shared" si="1"/>
        <v>-3.4138916895319498</v>
      </c>
      <c r="F11" s="9">
        <f t="shared" si="1"/>
        <v>-2.852544185721444</v>
      </c>
      <c r="G11" s="49"/>
    </row>
    <row r="12" spans="1:21" ht="16.5" thickTop="1" thickBot="1">
      <c r="A12" s="61"/>
      <c r="B12" s="8" t="s">
        <v>5</v>
      </c>
      <c r="C12" s="9">
        <f>C2*B3*B4*B8*0.5*I26</f>
        <v>1.8616014547664121</v>
      </c>
      <c r="D12" s="9">
        <f>-C2*B3*B4*B8*0.5*J26</f>
        <v>-2.8296408523869867</v>
      </c>
      <c r="E12" s="9">
        <f>-C2*B3*B4*B8*0.5*K26</f>
        <v>-1.7069458447659749</v>
      </c>
      <c r="F12" s="9">
        <f>-B3*B4*B8*C2*0.5*L26</f>
        <v>-1.426272092860722</v>
      </c>
      <c r="G12" s="50"/>
    </row>
    <row r="13" spans="1:21" ht="15" thickTop="1"/>
    <row r="14" spans="1:21" ht="15.75" thickBot="1">
      <c r="A14" s="4" t="s">
        <v>7</v>
      </c>
      <c r="B14" s="4">
        <f>(B5+B6)/2</f>
        <v>9</v>
      </c>
      <c r="G14" s="51" t="s">
        <v>58</v>
      </c>
      <c r="H14" s="62"/>
    </row>
    <row r="15" spans="1:21" ht="15">
      <c r="B15" s="14">
        <f>0.7*(B14/12)^0.3</f>
        <v>0.64212032824968124</v>
      </c>
      <c r="C15" s="14">
        <f>(B14/10)^0.2</f>
        <v>0.9791483623609768</v>
      </c>
      <c r="F15" s="53" t="s">
        <v>15</v>
      </c>
      <c r="G15" s="54"/>
      <c r="H15" s="54"/>
      <c r="I15" s="55"/>
    </row>
    <row r="16" spans="1:21" ht="15.75" thickBot="1">
      <c r="B16" s="13">
        <v>0.7</v>
      </c>
      <c r="C16" s="14">
        <v>0.9</v>
      </c>
      <c r="D16" s="56" t="s">
        <v>14</v>
      </c>
      <c r="E16" s="56"/>
      <c r="F16" s="57" t="s">
        <v>17</v>
      </c>
      <c r="G16" s="58"/>
      <c r="H16" s="58"/>
      <c r="I16" s="59"/>
    </row>
    <row r="17" spans="1:20" ht="15">
      <c r="B17" s="13">
        <f>MAX(B15:B16)</f>
        <v>0.7</v>
      </c>
      <c r="C17" s="14">
        <f>MAX(C15:C16)</f>
        <v>0.9791483623609768</v>
      </c>
      <c r="G17" s="43" t="s">
        <v>16</v>
      </c>
      <c r="H17" s="44"/>
    </row>
    <row r="18" spans="1:20">
      <c r="A18" s="13" t="s">
        <v>27</v>
      </c>
      <c r="B18" s="13">
        <f>ATAN(B19)*180/3.14</f>
        <v>11.315669035980426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20">
      <c r="A19" s="13" t="s">
        <v>26</v>
      </c>
      <c r="B19" s="13">
        <f>(B6-B5)/(B7*0.5)</f>
        <v>0.2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1:20">
      <c r="A20" s="13" t="s">
        <v>24</v>
      </c>
      <c r="B20" s="13">
        <f>(B18-5)/15</f>
        <v>0.42104460239869501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20" ht="15.75" hidden="1" thickTop="1" thickBot="1">
      <c r="A22" s="13"/>
      <c r="B22" s="19">
        <v>6</v>
      </c>
      <c r="C22" s="19">
        <v>1</v>
      </c>
      <c r="D22" s="19">
        <v>2</v>
      </c>
      <c r="E22" s="19">
        <v>3</v>
      </c>
      <c r="F22" s="19">
        <v>4</v>
      </c>
      <c r="G22" s="13"/>
      <c r="H22" s="19">
        <v>6</v>
      </c>
      <c r="I22" s="19">
        <v>1</v>
      </c>
      <c r="J22" s="19">
        <v>2</v>
      </c>
      <c r="K22" s="19">
        <v>3</v>
      </c>
      <c r="L22" s="19">
        <v>4</v>
      </c>
    </row>
    <row r="23" spans="1:20" ht="16.5" hidden="1" thickTop="1" thickBot="1">
      <c r="A23" s="13"/>
      <c r="B23" s="20" t="s">
        <v>2</v>
      </c>
      <c r="C23" s="21">
        <v>1.1499999999999999</v>
      </c>
      <c r="D23" s="21">
        <v>2</v>
      </c>
      <c r="E23" s="21">
        <v>0.3</v>
      </c>
      <c r="F23" s="21">
        <v>0.8</v>
      </c>
      <c r="G23" s="13"/>
      <c r="H23" s="20" t="s">
        <v>2</v>
      </c>
      <c r="I23" s="21">
        <f>(B20*(C30-C23))+C23</f>
        <v>1.2973656108395433</v>
      </c>
      <c r="J23" s="21">
        <f>B20*(D30-D23)+D23</f>
        <v>2</v>
      </c>
      <c r="K23" s="21">
        <f>B20*(E30-E23)+E23</f>
        <v>0.72104460239869494</v>
      </c>
      <c r="L23" s="21">
        <f>B20*(F30-F23)+F23</f>
        <v>0.96841784095947803</v>
      </c>
    </row>
    <row r="24" spans="1:20" ht="16.5" hidden="1" thickTop="1" thickBot="1">
      <c r="A24" s="13">
        <v>5</v>
      </c>
      <c r="B24" s="20" t="s">
        <v>3</v>
      </c>
      <c r="C24" s="21">
        <f>C23+C26</f>
        <v>1.9</v>
      </c>
      <c r="D24" s="21">
        <f t="shared" ref="D24:F24" si="2">D23+D26</f>
        <v>3.3</v>
      </c>
      <c r="E24" s="21">
        <f t="shared" si="2"/>
        <v>1</v>
      </c>
      <c r="F24" s="21">
        <f t="shared" si="2"/>
        <v>1.35</v>
      </c>
      <c r="G24" s="13"/>
      <c r="H24" s="20" t="s">
        <v>3</v>
      </c>
      <c r="I24" s="21">
        <f>(B20*(C31-C24))+C24</f>
        <v>2.1526267614392172</v>
      </c>
      <c r="J24" s="21">
        <f>B20*(D31-D24)+D24</f>
        <v>3.3</v>
      </c>
      <c r="K24" s="21">
        <f>B20*(E31-E24)+E24</f>
        <v>1.5052535228784341</v>
      </c>
      <c r="L24" s="21">
        <f>B20*(F31-F24)+F24</f>
        <v>1.6236789915591519</v>
      </c>
    </row>
    <row r="25" spans="1:20" ht="16.5" hidden="1" thickTop="1" thickBot="1">
      <c r="A25" s="13"/>
      <c r="B25" s="20" t="s">
        <v>4</v>
      </c>
      <c r="C25" s="21">
        <f>C26*2</f>
        <v>1.5</v>
      </c>
      <c r="D25" s="21">
        <f t="shared" ref="D25:F25" si="3">D26*2</f>
        <v>2.6</v>
      </c>
      <c r="E25" s="21">
        <f t="shared" si="3"/>
        <v>1.4</v>
      </c>
      <c r="F25" s="21">
        <f t="shared" si="3"/>
        <v>1.1000000000000001</v>
      </c>
      <c r="G25" s="13"/>
      <c r="H25" s="20" t="s">
        <v>4</v>
      </c>
      <c r="I25" s="21">
        <f>(B20*(C32-C25))+C25</f>
        <v>1.7105223011993476</v>
      </c>
      <c r="J25" s="21">
        <f>B20*(D32-D25)+D25</f>
        <v>2.6</v>
      </c>
      <c r="K25" s="21">
        <f>B20*(E32-E25)+E25</f>
        <v>1.568417840959478</v>
      </c>
      <c r="L25" s="21">
        <f>B20*(F32-F25)+F25</f>
        <v>1.3105223011993477</v>
      </c>
    </row>
    <row r="26" spans="1:20" ht="16.5" hidden="1" thickTop="1" thickBot="1">
      <c r="A26" s="13"/>
      <c r="B26" s="20" t="s">
        <v>5</v>
      </c>
      <c r="C26" s="21">
        <v>0.75</v>
      </c>
      <c r="D26" s="21">
        <v>1.3</v>
      </c>
      <c r="E26" s="21">
        <v>0.7</v>
      </c>
      <c r="F26" s="21">
        <v>0.55000000000000004</v>
      </c>
      <c r="G26" s="13"/>
      <c r="H26" s="20" t="s">
        <v>5</v>
      </c>
      <c r="I26" s="21">
        <f>(B20*(C33-C26))+C26</f>
        <v>0.85526115059967378</v>
      </c>
      <c r="J26" s="21">
        <f>B20*(D33-D26)+D26</f>
        <v>1.3</v>
      </c>
      <c r="K26" s="21">
        <f>B20*(E33-E26)+E26</f>
        <v>0.784208920479739</v>
      </c>
      <c r="L26" s="21">
        <f>B20*(F33-F26)+F26</f>
        <v>0.65526115059967383</v>
      </c>
    </row>
    <row r="27" spans="1:20" ht="19.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68" t="s">
        <v>53</v>
      </c>
      <c r="N27" s="69"/>
    </row>
    <row r="28" spans="1:20" ht="15" thickBot="1">
      <c r="A28" s="3"/>
      <c r="B28" s="3"/>
      <c r="C28" s="3"/>
      <c r="D28" s="3"/>
      <c r="E28" s="3"/>
      <c r="F28" s="3"/>
      <c r="G28" s="3"/>
      <c r="H28" s="13">
        <f>B3*B4*C2*2*E1</f>
        <v>0.65299404285853546</v>
      </c>
      <c r="I28" s="13"/>
      <c r="J28" s="13"/>
      <c r="K28" s="13"/>
      <c r="L28" s="13"/>
      <c r="N28" s="13">
        <f>C2*B3*B4*2*D1</f>
        <v>-0.43532936190569027</v>
      </c>
    </row>
    <row r="29" spans="1:20" ht="20.25" thickTop="1" thickBot="1">
      <c r="A29" s="3"/>
      <c r="B29" s="37">
        <v>6</v>
      </c>
      <c r="C29" s="37">
        <v>1</v>
      </c>
      <c r="D29" s="37">
        <v>2</v>
      </c>
      <c r="E29" s="37">
        <v>3</v>
      </c>
      <c r="F29" s="37">
        <v>4</v>
      </c>
      <c r="G29" s="3"/>
      <c r="H29" s="40" t="s">
        <v>50</v>
      </c>
      <c r="I29" s="7">
        <v>1</v>
      </c>
      <c r="J29" s="7">
        <v>2</v>
      </c>
      <c r="K29" s="7">
        <v>3</v>
      </c>
      <c r="L29" s="7">
        <v>4</v>
      </c>
      <c r="N29" s="13"/>
      <c r="O29" s="40" t="s">
        <v>51</v>
      </c>
      <c r="P29" s="7">
        <v>1</v>
      </c>
      <c r="Q29" s="7">
        <v>2</v>
      </c>
      <c r="R29" s="7">
        <v>3</v>
      </c>
      <c r="S29" s="7">
        <v>4</v>
      </c>
    </row>
    <row r="30" spans="1:20" ht="16.5" thickTop="1" thickBot="1">
      <c r="A30" s="3"/>
      <c r="B30" s="38" t="s">
        <v>2</v>
      </c>
      <c r="C30" s="39">
        <v>1.5</v>
      </c>
      <c r="D30" s="39">
        <v>2</v>
      </c>
      <c r="E30" s="39">
        <v>1.3</v>
      </c>
      <c r="F30" s="39">
        <v>1.2</v>
      </c>
      <c r="G30" s="3">
        <f>H28*B8*0.5</f>
        <v>1.9589821285756064</v>
      </c>
      <c r="H30" s="8" t="s">
        <v>2</v>
      </c>
      <c r="I30" s="9">
        <f>C9+G30</f>
        <v>4.7828888462014287</v>
      </c>
      <c r="J30" s="9">
        <f>D9+G30</f>
        <v>-2.3943114904812961</v>
      </c>
      <c r="K30" s="9">
        <f>E9+G30</f>
        <v>0.3895226952367763</v>
      </c>
      <c r="L30" s="9">
        <f>F9+G30</f>
        <v>-0.14892147523927246</v>
      </c>
      <c r="M30" s="48" t="s">
        <v>12</v>
      </c>
      <c r="N30" s="13">
        <f>N28*B8*0.5</f>
        <v>-1.3059880857170709</v>
      </c>
      <c r="O30" s="8" t="s">
        <v>2</v>
      </c>
      <c r="P30" s="9">
        <f>C9+N30</f>
        <v>1.5179186319087514</v>
      </c>
      <c r="Q30" s="9">
        <f>D9+N30</f>
        <v>-5.6592817047739734</v>
      </c>
      <c r="R30" s="9">
        <f>E9+N30</f>
        <v>-2.8754475190559008</v>
      </c>
      <c r="S30" s="9">
        <f>F9+N30</f>
        <v>-3.4138916895319498</v>
      </c>
      <c r="T30" s="48" t="s">
        <v>12</v>
      </c>
    </row>
    <row r="31" spans="1:20" ht="16.5" thickTop="1" thickBot="1">
      <c r="A31" s="3">
        <v>20</v>
      </c>
      <c r="B31" s="38" t="s">
        <v>3</v>
      </c>
      <c r="C31" s="39">
        <f>C30+C33</f>
        <v>2.5</v>
      </c>
      <c r="D31" s="39">
        <f t="shared" ref="D31:F31" si="4">D30+D33</f>
        <v>3.3</v>
      </c>
      <c r="E31" s="39">
        <f t="shared" si="4"/>
        <v>2.2000000000000002</v>
      </c>
      <c r="F31" s="39">
        <f t="shared" si="4"/>
        <v>2</v>
      </c>
      <c r="G31" s="3">
        <f>H28*B8</f>
        <v>3.9179642571512128</v>
      </c>
      <c r="H31" s="8" t="s">
        <v>3</v>
      </c>
      <c r="I31" s="9">
        <f>C10+G31</f>
        <v>8.6034724295434479</v>
      </c>
      <c r="J31" s="9">
        <f>D10+G31</f>
        <v>-3.2649702142926769</v>
      </c>
      <c r="K31" s="9">
        <f>E10+G31</f>
        <v>0.6415589790464078</v>
      </c>
      <c r="L31" s="9">
        <f>F10+G31</f>
        <v>0.38378856047561172</v>
      </c>
      <c r="M31" s="49"/>
      <c r="N31" s="13">
        <f>N28*B8</f>
        <v>-2.6119761714341418</v>
      </c>
      <c r="O31" s="8" t="s">
        <v>3</v>
      </c>
      <c r="P31" s="9">
        <f>C10+N31</f>
        <v>2.0735320009580924</v>
      </c>
      <c r="Q31" s="9">
        <f>D10+N31</f>
        <v>-9.7949106428780315</v>
      </c>
      <c r="R31" s="9">
        <f>E10+N31</f>
        <v>-5.8883814495389473</v>
      </c>
      <c r="S31" s="9">
        <f>F10+N31</f>
        <v>-6.1461518681097429</v>
      </c>
      <c r="T31" s="49"/>
    </row>
    <row r="32" spans="1:20" ht="16.5" thickTop="1" thickBot="1">
      <c r="A32" s="3"/>
      <c r="B32" s="38" t="s">
        <v>4</v>
      </c>
      <c r="C32" s="39">
        <f>C33*2</f>
        <v>2</v>
      </c>
      <c r="D32" s="39">
        <f t="shared" ref="D32:F32" si="5">D33*2</f>
        <v>2.6</v>
      </c>
      <c r="E32" s="39">
        <f t="shared" si="5"/>
        <v>1.8</v>
      </c>
      <c r="F32" s="39">
        <f t="shared" si="5"/>
        <v>1.6</v>
      </c>
      <c r="G32" s="3">
        <f>H28*B8</f>
        <v>3.9179642571512128</v>
      </c>
      <c r="H32" s="8" t="s">
        <v>4</v>
      </c>
      <c r="I32" s="9">
        <f>C11+G32</f>
        <v>7.6411671666840366</v>
      </c>
      <c r="J32" s="9">
        <f>D11+G32</f>
        <v>-1.7413174476227606</v>
      </c>
      <c r="K32" s="9">
        <f>E11+G32</f>
        <v>0.504072567619263</v>
      </c>
      <c r="L32" s="9">
        <f>F11+G32</f>
        <v>1.0654200714297688</v>
      </c>
      <c r="M32" s="49"/>
      <c r="N32" s="13">
        <f>N28*B8</f>
        <v>-2.6119761714341418</v>
      </c>
      <c r="O32" s="8" t="s">
        <v>4</v>
      </c>
      <c r="P32" s="9">
        <f>C11+N32</f>
        <v>1.1112267380986824</v>
      </c>
      <c r="Q32" s="9">
        <f>D11+N32</f>
        <v>-8.2712578762081144</v>
      </c>
      <c r="R32" s="9">
        <f>E11+N32</f>
        <v>-6.0258678609660912</v>
      </c>
      <c r="S32" s="9">
        <f>F11+N32</f>
        <v>-5.4645203571555854</v>
      </c>
      <c r="T32" s="49"/>
    </row>
    <row r="33" spans="1:20" ht="16.5" thickTop="1" thickBot="1">
      <c r="A33" s="3"/>
      <c r="B33" s="38" t="s">
        <v>5</v>
      </c>
      <c r="C33" s="39">
        <v>1</v>
      </c>
      <c r="D33" s="39">
        <v>1.3</v>
      </c>
      <c r="E33" s="39">
        <v>0.9</v>
      </c>
      <c r="F33" s="39">
        <v>0.8</v>
      </c>
      <c r="G33" s="3">
        <f>H28*B8*0.5</f>
        <v>1.9589821285756064</v>
      </c>
      <c r="H33" s="8" t="s">
        <v>5</v>
      </c>
      <c r="I33" s="9">
        <f>C12+G33</f>
        <v>3.8205835833420183</v>
      </c>
      <c r="J33" s="9">
        <f>D12+G33</f>
        <v>-0.87065872381138032</v>
      </c>
      <c r="K33" s="9">
        <f>E12+G33</f>
        <v>0.2520362838096315</v>
      </c>
      <c r="L33" s="9">
        <f>F12+G33</f>
        <v>0.5327100357148844</v>
      </c>
      <c r="M33" s="50"/>
      <c r="N33" s="13">
        <f>N28*B8*0.5</f>
        <v>-1.3059880857170709</v>
      </c>
      <c r="O33" s="8" t="s">
        <v>5</v>
      </c>
      <c r="P33" s="9">
        <f>C12+N33</f>
        <v>0.55561336904934122</v>
      </c>
      <c r="Q33" s="9">
        <f>D12+N33</f>
        <v>-4.1356289381040572</v>
      </c>
      <c r="R33" s="9">
        <f>E12+N33</f>
        <v>-3.0129339304830456</v>
      </c>
      <c r="S33" s="9">
        <f>F12+N33</f>
        <v>-2.7322601785777927</v>
      </c>
      <c r="T33" s="50"/>
    </row>
    <row r="34" spans="1:20" ht="15" thickTop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20" ht="17.25">
      <c r="H35" s="66" t="s">
        <v>52</v>
      </c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</row>
  </sheetData>
  <sheetProtection password="E5B5" sheet="1" objects="1" scenarios="1" selectLockedCells="1"/>
  <dataConsolidate/>
  <mergeCells count="13">
    <mergeCell ref="G2:G7"/>
    <mergeCell ref="D2:E2"/>
    <mergeCell ref="M30:M33"/>
    <mergeCell ref="T30:T33"/>
    <mergeCell ref="H35:T35"/>
    <mergeCell ref="M27:N27"/>
    <mergeCell ref="G17:H17"/>
    <mergeCell ref="A9:A12"/>
    <mergeCell ref="G9:G12"/>
    <mergeCell ref="D16:E16"/>
    <mergeCell ref="F16:I16"/>
    <mergeCell ref="F15:I15"/>
    <mergeCell ref="G14:H14"/>
  </mergeCells>
  <dataValidations count="4">
    <dataValidation type="list" allowBlank="1" showInputMessage="1" showErrorMessage="1" sqref="B3">
      <formula1>$K$2:$K$5</formula1>
    </dataValidation>
    <dataValidation type="list" allowBlank="1" showInputMessage="1" showErrorMessage="1" sqref="B4">
      <formula1>$L$2:$L$5</formula1>
    </dataValidation>
    <dataValidation type="list" allowBlank="1" showInputMessage="1" showErrorMessage="1" sqref="B2">
      <formula1>$M$2:$M$3</formula1>
    </dataValidation>
    <dataValidation type="list" allowBlank="1" showInputMessage="1" showErrorMessage="1" sqref="B1">
      <formula1>$S$3:$S$4</formula1>
    </dataValidation>
  </dataValidations>
  <hyperlinks>
    <hyperlink ref="G17" r:id="rId1"/>
  </hyperlinks>
  <pageMargins left="0.7" right="0.7" top="0.75" bottom="0.75" header="0.3" footer="0.3"/>
  <pageSetup orientation="portrait" horizontalDpi="200" verticalDpi="2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2"/>
  <sheetViews>
    <sheetView topLeftCell="C1" zoomScale="115" zoomScaleNormal="115" workbookViewId="0">
      <selection activeCell="D2" sqref="D2"/>
    </sheetView>
  </sheetViews>
  <sheetFormatPr defaultColWidth="9" defaultRowHeight="14.25"/>
  <cols>
    <col min="1" max="2" width="9" style="23"/>
    <col min="3" max="3" width="13.5703125" style="23" bestFit="1" customWidth="1"/>
    <col min="4" max="14" width="9" style="23"/>
    <col min="15" max="17" width="9.140625" style="23" bestFit="1" customWidth="1"/>
    <col min="18" max="18" width="11.42578125" style="23" bestFit="1" customWidth="1"/>
    <col min="19" max="19" width="12.42578125" style="23" bestFit="1" customWidth="1"/>
    <col min="20" max="16384" width="9" style="23"/>
  </cols>
  <sheetData>
    <row r="1" spans="2:19">
      <c r="C1" s="82" t="s">
        <v>13</v>
      </c>
      <c r="D1" s="82"/>
      <c r="O1" s="41"/>
      <c r="P1" s="41"/>
      <c r="Q1" s="41" t="s">
        <v>55</v>
      </c>
      <c r="R1" s="41" t="s">
        <v>56</v>
      </c>
      <c r="S1" s="41" t="s">
        <v>57</v>
      </c>
    </row>
    <row r="2" spans="2:19" ht="15">
      <c r="B2" s="24" t="s">
        <v>47</v>
      </c>
      <c r="C2" s="25" t="s">
        <v>28</v>
      </c>
      <c r="D2" s="22" t="s">
        <v>29</v>
      </c>
      <c r="E2" s="26">
        <f>LOOKUP(D2,O2:O3:O4,P2:P3:P4)</f>
        <v>10</v>
      </c>
      <c r="O2" s="41" t="s">
        <v>29</v>
      </c>
      <c r="P2" s="41">
        <f>'عمود بر لبه'!B7/2</f>
        <v>10</v>
      </c>
      <c r="Q2" s="41">
        <f>0.5*(D3-E2)</f>
        <v>5</v>
      </c>
      <c r="R2" s="41">
        <f>'عمود بر لبه'!B6-'عمود بر لبه'!B5</f>
        <v>2</v>
      </c>
      <c r="S2" s="41">
        <f>(R2*Q2)/(0.5*D3)</f>
        <v>1</v>
      </c>
    </row>
    <row r="3" spans="2:19" ht="15.75" thickBot="1">
      <c r="B3" s="24" t="s">
        <v>49</v>
      </c>
      <c r="C3" s="25" t="s">
        <v>22</v>
      </c>
      <c r="D3" s="25">
        <f>D29</f>
        <v>20</v>
      </c>
      <c r="O3" s="41" t="s">
        <v>30</v>
      </c>
      <c r="P3" s="41">
        <f>'عمود بر لبه'!B7/3</f>
        <v>6.666666666666667</v>
      </c>
      <c r="Q3" s="41"/>
      <c r="R3" s="41"/>
      <c r="S3" s="41"/>
    </row>
    <row r="4" spans="2:19" ht="16.5" thickTop="1" thickBot="1">
      <c r="C4" s="70" t="s">
        <v>54</v>
      </c>
      <c r="D4" s="77" t="s">
        <v>45</v>
      </c>
      <c r="E4" s="78"/>
      <c r="F4" s="78"/>
      <c r="G4" s="79"/>
      <c r="O4" s="41" t="s">
        <v>31</v>
      </c>
      <c r="P4" s="41">
        <f>'عمود بر لبه'!B7/4</f>
        <v>5</v>
      </c>
      <c r="Q4" s="41"/>
      <c r="R4" s="41"/>
      <c r="S4" s="41"/>
    </row>
    <row r="5" spans="2:19" ht="16.5" thickTop="1" thickBot="1">
      <c r="C5" s="83"/>
      <c r="D5" s="28" t="s">
        <v>33</v>
      </c>
      <c r="E5" s="28" t="s">
        <v>34</v>
      </c>
      <c r="F5" s="28" t="s">
        <v>35</v>
      </c>
      <c r="G5" s="29" t="s">
        <v>36</v>
      </c>
      <c r="O5" s="41"/>
      <c r="P5" s="41"/>
      <c r="Q5" s="41"/>
      <c r="R5" s="41"/>
      <c r="S5" s="41"/>
    </row>
    <row r="6" spans="2:19" ht="16.5" thickTop="1" thickBot="1">
      <c r="C6" s="30" t="s">
        <v>2</v>
      </c>
      <c r="D6" s="31">
        <f>D10*D15</f>
        <v>1.4029168889538848</v>
      </c>
      <c r="E6" s="31">
        <f>E15*E10</f>
        <v>4.1945797891954539</v>
      </c>
      <c r="F6" s="31">
        <f>F10*F15</f>
        <v>4.1945797891954539</v>
      </c>
      <c r="G6" s="31">
        <f>G10*G15</f>
        <v>2.1511392297292899</v>
      </c>
      <c r="H6" s="80"/>
      <c r="O6" s="41"/>
      <c r="P6" s="41"/>
      <c r="Q6" s="41"/>
      <c r="R6" s="41"/>
      <c r="S6" s="41"/>
    </row>
    <row r="7" spans="2:19" ht="16.5" thickTop="1" thickBot="1">
      <c r="C7" s="30" t="s">
        <v>5</v>
      </c>
      <c r="D7" s="31">
        <f>-D16*D10</f>
        <v>-1.0288057185661823</v>
      </c>
      <c r="E7" s="31">
        <f>-E16*E10</f>
        <v>-3.076025178743333</v>
      </c>
      <c r="F7" s="31">
        <f>-F10*F16</f>
        <v>-3.076025178743333</v>
      </c>
      <c r="G7" s="31">
        <f>-G10*G16</f>
        <v>-1.4964446815508106</v>
      </c>
      <c r="H7" s="81"/>
      <c r="O7" s="42" t="s">
        <v>33</v>
      </c>
      <c r="P7" s="42" t="s">
        <v>34</v>
      </c>
      <c r="Q7" s="42" t="s">
        <v>35</v>
      </c>
      <c r="R7" s="42" t="s">
        <v>36</v>
      </c>
      <c r="S7" s="42"/>
    </row>
    <row r="8" spans="2:19" ht="15.75" thickTop="1">
      <c r="C8" s="35" t="s">
        <v>46</v>
      </c>
      <c r="D8" s="36">
        <f>'عمود بر لبه'!B5</f>
        <v>8</v>
      </c>
      <c r="E8" s="36">
        <f>S2+'عمود بر لبه'!B5</f>
        <v>9</v>
      </c>
      <c r="F8" s="36">
        <f>E8</f>
        <v>9</v>
      </c>
      <c r="G8" s="36">
        <f>D8</f>
        <v>8</v>
      </c>
      <c r="H8" s="81"/>
      <c r="O8" s="42">
        <f>S8*D18/D8</f>
        <v>1.6835002667446617</v>
      </c>
      <c r="P8" s="42">
        <f>S8*E18/E8</f>
        <v>5.0334957470345447</v>
      </c>
      <c r="Q8" s="42">
        <f>P8</f>
        <v>5.0334957470345447</v>
      </c>
      <c r="R8" s="42">
        <f>O8</f>
        <v>1.6835002667446617</v>
      </c>
      <c r="S8" s="42">
        <f>'عمود بر لبه'!H28</f>
        <v>0.65299404285853546</v>
      </c>
    </row>
    <row r="9" spans="2:19" ht="15">
      <c r="B9" s="27"/>
      <c r="C9" s="32"/>
      <c r="D9" s="32"/>
      <c r="E9" s="32"/>
      <c r="F9" s="32"/>
      <c r="G9" s="32"/>
      <c r="O9" s="42">
        <f>S9*D18/D8</f>
        <v>-1.1223335111631076</v>
      </c>
      <c r="P9" s="42">
        <f>S9*E18/E8</f>
        <v>-3.3556638313563623</v>
      </c>
      <c r="Q9" s="42">
        <f>P9</f>
        <v>-3.3556638313563623</v>
      </c>
      <c r="R9" s="42">
        <f>O9</f>
        <v>-1.1223335111631076</v>
      </c>
      <c r="S9" s="42">
        <f>'عمود بر لبه'!N28</f>
        <v>-0.43532936190569027</v>
      </c>
    </row>
    <row r="10" spans="2:19">
      <c r="B10" s="27"/>
      <c r="C10" s="27"/>
      <c r="D10" s="27">
        <f>D11/D8</f>
        <v>1.870555851938513</v>
      </c>
      <c r="E10" s="27">
        <f>E11/E8</f>
        <v>5.5927730522606049</v>
      </c>
      <c r="F10" s="27">
        <f>E10</f>
        <v>5.5927730522606049</v>
      </c>
      <c r="G10" s="27">
        <f>D10</f>
        <v>1.870555851938513</v>
      </c>
    </row>
    <row r="11" spans="2:19">
      <c r="B11" s="27"/>
      <c r="C11" s="27">
        <f>'عمود بر لبه'!C2*'عمود بر لبه'!B3*'عمود بر لبه'!B4</f>
        <v>0.72554893650948382</v>
      </c>
      <c r="D11" s="27">
        <f>D18*C11</f>
        <v>14.964446815508104</v>
      </c>
      <c r="E11" s="27">
        <f>E18*C11</f>
        <v>50.334957470345444</v>
      </c>
      <c r="F11" s="27">
        <f>E11</f>
        <v>50.334957470345444</v>
      </c>
      <c r="G11" s="27">
        <f>D11</f>
        <v>14.964446815508104</v>
      </c>
    </row>
    <row r="12" spans="2:19">
      <c r="B12" s="27"/>
      <c r="C12" s="27"/>
      <c r="D12" s="27"/>
      <c r="E12" s="27"/>
      <c r="F12" s="27"/>
      <c r="G12" s="27"/>
    </row>
    <row r="13" spans="2:19">
      <c r="B13" s="27"/>
      <c r="C13" s="27"/>
      <c r="D13" s="27"/>
      <c r="E13" s="27"/>
      <c r="F13" s="27"/>
      <c r="G13" s="27"/>
    </row>
    <row r="14" spans="2:19">
      <c r="B14" s="27"/>
      <c r="C14" s="27"/>
      <c r="D14" s="27"/>
      <c r="E14" s="27"/>
      <c r="F14" s="27"/>
      <c r="G14" s="27"/>
    </row>
    <row r="15" spans="2:19" ht="15" thickBot="1">
      <c r="B15" s="75" t="s">
        <v>43</v>
      </c>
      <c r="C15" s="27" t="s">
        <v>2</v>
      </c>
      <c r="D15" s="27">
        <v>0.75</v>
      </c>
      <c r="E15" s="27">
        <v>0.75</v>
      </c>
      <c r="F15" s="27">
        <v>0.75</v>
      </c>
      <c r="G15" s="27">
        <v>1.1499999999999999</v>
      </c>
    </row>
    <row r="16" spans="2:19" ht="20.25" thickTop="1" thickBot="1">
      <c r="B16" s="76"/>
      <c r="C16" s="27" t="s">
        <v>5</v>
      </c>
      <c r="D16" s="27">
        <v>0.55000000000000004</v>
      </c>
      <c r="E16" s="27">
        <v>0.55000000000000004</v>
      </c>
      <c r="F16" s="27">
        <v>0.55000000000000004</v>
      </c>
      <c r="G16" s="27">
        <v>0.8</v>
      </c>
      <c r="I16" s="70" t="s">
        <v>53</v>
      </c>
      <c r="J16" s="72" t="s">
        <v>45</v>
      </c>
      <c r="K16" s="73"/>
      <c r="L16" s="73"/>
      <c r="M16" s="74"/>
      <c r="N16" s="34" t="s">
        <v>50</v>
      </c>
    </row>
    <row r="17" spans="2:17" ht="16.5" thickTop="1" thickBot="1">
      <c r="B17" s="27"/>
      <c r="C17" s="27"/>
      <c r="D17" s="33" t="s">
        <v>33</v>
      </c>
      <c r="E17" s="33" t="s">
        <v>34</v>
      </c>
      <c r="F17" s="33" t="s">
        <v>35</v>
      </c>
      <c r="G17" s="33" t="s">
        <v>36</v>
      </c>
      <c r="I17" s="71"/>
      <c r="J17" s="28" t="s">
        <v>33</v>
      </c>
      <c r="K17" s="28" t="s">
        <v>34</v>
      </c>
      <c r="L17" s="28" t="s">
        <v>35</v>
      </c>
      <c r="M17" s="29" t="s">
        <v>36</v>
      </c>
    </row>
    <row r="18" spans="2:17" ht="16.5" thickTop="1" thickBot="1">
      <c r="B18" s="27"/>
      <c r="C18" s="27" t="s">
        <v>32</v>
      </c>
      <c r="D18" s="27">
        <f>D20+D21</f>
        <v>20.625</v>
      </c>
      <c r="E18" s="27">
        <f>E20+E21</f>
        <v>69.375</v>
      </c>
      <c r="F18" s="27">
        <f>E18</f>
        <v>69.375</v>
      </c>
      <c r="G18" s="27">
        <f>D18</f>
        <v>20.625</v>
      </c>
      <c r="H18" s="27">
        <v>0.45</v>
      </c>
      <c r="I18" s="30" t="s">
        <v>2</v>
      </c>
      <c r="J18" s="31">
        <f>D6+O8</f>
        <v>3.0864171556985465</v>
      </c>
      <c r="K18" s="31">
        <f t="shared" ref="K18:M18" si="0">E6+P8</f>
        <v>9.2280755362299978</v>
      </c>
      <c r="L18" s="31">
        <f t="shared" si="0"/>
        <v>9.2280755362299978</v>
      </c>
      <c r="M18" s="31">
        <f t="shared" si="0"/>
        <v>3.8346394964739519</v>
      </c>
      <c r="N18" s="27">
        <f>2*D6*H18/D15</f>
        <v>1.6835002667446617</v>
      </c>
      <c r="O18" s="27">
        <f>2*E6*H18/E15</f>
        <v>5.0334957470345447</v>
      </c>
      <c r="P18" s="27">
        <f>2*F6*H18/F15</f>
        <v>5.0334957470345447</v>
      </c>
      <c r="Q18" s="27">
        <f>2*G6*H18/G15</f>
        <v>1.6835002667446619</v>
      </c>
    </row>
    <row r="19" spans="2:17" ht="16.5" thickTop="1" thickBot="1">
      <c r="B19" s="27"/>
      <c r="C19" s="27"/>
      <c r="D19" s="27"/>
      <c r="E19" s="27"/>
      <c r="F19" s="27"/>
      <c r="G19" s="27"/>
      <c r="H19" s="27">
        <v>0.45</v>
      </c>
      <c r="I19" s="30" t="s">
        <v>5</v>
      </c>
      <c r="J19" s="31">
        <f>D7+O8</f>
        <v>0.65469454817847939</v>
      </c>
      <c r="K19" s="31">
        <f t="shared" ref="K19:L19" si="1">E7+P8</f>
        <v>1.9574705682912117</v>
      </c>
      <c r="L19" s="31">
        <f t="shared" si="1"/>
        <v>1.9574705682912117</v>
      </c>
      <c r="M19" s="31">
        <f>G7+R8</f>
        <v>0.18705558519385113</v>
      </c>
      <c r="N19" s="27">
        <f>2*H19*D16</f>
        <v>0.49500000000000005</v>
      </c>
      <c r="O19" s="27">
        <f>-2*H19*E7</f>
        <v>2.7684226608689997</v>
      </c>
      <c r="P19" s="27">
        <f>O19</f>
        <v>2.7684226608689997</v>
      </c>
      <c r="Q19" s="27">
        <f>N19</f>
        <v>0.49500000000000005</v>
      </c>
    </row>
    <row r="20" spans="2:17" ht="15" thickTop="1">
      <c r="B20" s="27"/>
      <c r="C20" s="27" t="s">
        <v>37</v>
      </c>
      <c r="D20" s="27">
        <f>('عمود بر لبه'!B7-'موازی لبه'!E2)*0.25*'عمود بر لبه'!B5</f>
        <v>20</v>
      </c>
      <c r="E20" s="27">
        <f>(('عمود بر لبه'!B7*'عمود بر لبه'!B5)*0.5)-'موازی لبه'!D20</f>
        <v>60</v>
      </c>
      <c r="F20" s="27"/>
      <c r="G20" s="27"/>
      <c r="N20" s="27"/>
      <c r="O20" s="27"/>
      <c r="P20" s="27"/>
      <c r="Q20" s="27"/>
    </row>
    <row r="21" spans="2:17" ht="15" thickBot="1">
      <c r="B21" s="27"/>
      <c r="C21" s="27" t="s">
        <v>38</v>
      </c>
      <c r="D21" s="27">
        <f>D25*D26*0.5</f>
        <v>0.625</v>
      </c>
      <c r="E21" s="27">
        <f>(D30*D29*0.25)-D21</f>
        <v>9.375</v>
      </c>
      <c r="F21" s="27"/>
      <c r="G21" s="27"/>
      <c r="N21" s="27"/>
      <c r="O21" s="27"/>
      <c r="P21" s="27"/>
      <c r="Q21" s="27"/>
    </row>
    <row r="22" spans="2:17" ht="20.25" thickTop="1" thickBot="1">
      <c r="B22" s="27"/>
      <c r="C22" s="27" t="s">
        <v>39</v>
      </c>
      <c r="D22" s="27">
        <f>('عمود بر لبه'!B6-'عمود بر لبه'!B5)*0.25*'عمود بر لبه'!B7</f>
        <v>10</v>
      </c>
      <c r="E22" s="27"/>
      <c r="F22" s="27"/>
      <c r="G22" s="27"/>
      <c r="I22" s="70" t="s">
        <v>53</v>
      </c>
      <c r="J22" s="72" t="s">
        <v>45</v>
      </c>
      <c r="K22" s="73"/>
      <c r="L22" s="73"/>
      <c r="M22" s="74"/>
      <c r="N22" s="34" t="s">
        <v>51</v>
      </c>
      <c r="O22" s="27"/>
      <c r="P22" s="27"/>
      <c r="Q22" s="27"/>
    </row>
    <row r="23" spans="2:17" ht="16.5" thickTop="1" thickBot="1">
      <c r="B23" s="27"/>
      <c r="C23" s="27"/>
      <c r="D23" s="27"/>
      <c r="E23" s="27"/>
      <c r="F23" s="27"/>
      <c r="G23" s="27"/>
      <c r="I23" s="71"/>
      <c r="J23" s="28" t="s">
        <v>33</v>
      </c>
      <c r="K23" s="28" t="s">
        <v>34</v>
      </c>
      <c r="L23" s="28" t="s">
        <v>35</v>
      </c>
      <c r="M23" s="29" t="s">
        <v>36</v>
      </c>
      <c r="N23" s="27"/>
      <c r="O23" s="27"/>
      <c r="P23" s="27"/>
      <c r="Q23" s="27"/>
    </row>
    <row r="24" spans="2:17" ht="16.5" thickTop="1" thickBot="1">
      <c r="B24" s="27"/>
      <c r="C24" s="27"/>
      <c r="D24" s="27">
        <f>'عمود بر لبه'!B7-'موازی لبه'!E2</f>
        <v>10</v>
      </c>
      <c r="E24" s="27"/>
      <c r="F24" s="27"/>
      <c r="G24" s="27"/>
      <c r="I24" s="30" t="s">
        <v>2</v>
      </c>
      <c r="J24" s="31">
        <f>D6+O9</f>
        <v>0.28058337779077713</v>
      </c>
      <c r="K24" s="31">
        <f t="shared" ref="K24:M24" si="2">E6+P9</f>
        <v>0.83891595783909167</v>
      </c>
      <c r="L24" s="31">
        <f t="shared" si="2"/>
        <v>0.83891595783909167</v>
      </c>
      <c r="M24" s="31">
        <f t="shared" si="2"/>
        <v>1.0288057185661823</v>
      </c>
      <c r="N24" s="27">
        <f>-0.666*N18</f>
        <v>-1.1212111776519447</v>
      </c>
      <c r="O24" s="27">
        <f>-0.666*O18</f>
        <v>-3.352308167525007</v>
      </c>
      <c r="P24" s="27">
        <f>O24</f>
        <v>-3.352308167525007</v>
      </c>
      <c r="Q24" s="27">
        <f>N24</f>
        <v>-1.1212111776519447</v>
      </c>
    </row>
    <row r="25" spans="2:17" ht="16.5" thickTop="1" thickBot="1">
      <c r="B25" s="27"/>
      <c r="C25" s="27"/>
      <c r="D25" s="27">
        <f>D24*0.25</f>
        <v>2.5</v>
      </c>
      <c r="E25" s="27"/>
      <c r="F25" s="27"/>
      <c r="G25" s="27"/>
      <c r="I25" s="30" t="s">
        <v>5</v>
      </c>
      <c r="J25" s="31">
        <f>D7+O9</f>
        <v>-2.1511392297292899</v>
      </c>
      <c r="K25" s="31">
        <f t="shared" ref="K25:M25" si="3">E7+P9</f>
        <v>-6.4316890100996957</v>
      </c>
      <c r="L25" s="31">
        <f t="shared" si="3"/>
        <v>-6.4316890100996957</v>
      </c>
      <c r="M25" s="31">
        <f t="shared" si="3"/>
        <v>-2.6187781927139184</v>
      </c>
      <c r="N25" s="27">
        <f>-0.666*N19</f>
        <v>-0.32967000000000007</v>
      </c>
      <c r="O25" s="27">
        <f>-0.666*O19</f>
        <v>-1.843769492138754</v>
      </c>
      <c r="P25" s="27">
        <f>O25</f>
        <v>-1.843769492138754</v>
      </c>
      <c r="Q25" s="27">
        <f>N25</f>
        <v>-0.32967000000000007</v>
      </c>
    </row>
    <row r="26" spans="2:17" ht="15" thickTop="1">
      <c r="B26" s="27"/>
      <c r="C26" s="27" t="s">
        <v>40</v>
      </c>
      <c r="D26" s="27">
        <f>(D25/D29)*D30*2</f>
        <v>0.5</v>
      </c>
      <c r="E26" s="27"/>
      <c r="F26" s="27"/>
      <c r="G26" s="27"/>
    </row>
    <row r="29" spans="2:17">
      <c r="C29" s="27" t="s">
        <v>41</v>
      </c>
      <c r="D29" s="27">
        <f>'عمود بر لبه'!B7</f>
        <v>20</v>
      </c>
      <c r="E29" s="27"/>
    </row>
    <row r="30" spans="2:17">
      <c r="C30" s="27" t="s">
        <v>42</v>
      </c>
      <c r="D30" s="27">
        <f>'عمود بر لبه'!B6-'عمود بر لبه'!B5</f>
        <v>2</v>
      </c>
      <c r="E30" s="27"/>
    </row>
    <row r="31" spans="2:17">
      <c r="C31" s="27"/>
      <c r="D31" s="27"/>
      <c r="E31" s="27"/>
    </row>
    <row r="32" spans="2:17">
      <c r="C32" s="27" t="s">
        <v>44</v>
      </c>
      <c r="D32" s="27">
        <f>D8+D26</f>
        <v>8.5</v>
      </c>
      <c r="E32" s="27"/>
    </row>
  </sheetData>
  <sheetProtection password="E5B5" sheet="1" objects="1" scenarios="1" selectLockedCells="1"/>
  <mergeCells count="9">
    <mergeCell ref="D4:G4"/>
    <mergeCell ref="H6:H8"/>
    <mergeCell ref="C1:D1"/>
    <mergeCell ref="C4:C5"/>
    <mergeCell ref="I16:I17"/>
    <mergeCell ref="J16:M16"/>
    <mergeCell ref="I22:I23"/>
    <mergeCell ref="J22:M22"/>
    <mergeCell ref="B15:B16"/>
  </mergeCells>
  <dataValidations count="1">
    <dataValidation type="list" allowBlank="1" showInputMessage="1" showErrorMessage="1" sqref="D2">
      <formula1>$O$2:$O$4</formula1>
    </dataValidation>
  </dataValidation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main</vt:lpstr>
      <vt:lpstr>0-5</vt:lpstr>
      <vt:lpstr>عمود بر لبه</vt:lpstr>
      <vt:lpstr>موازی لبه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SADEGH ALAVI</dc:creator>
  <cp:lastModifiedBy>Masoud</cp:lastModifiedBy>
  <dcterms:created xsi:type="dcterms:W3CDTF">2015-03-20T07:39:47Z</dcterms:created>
  <dcterms:modified xsi:type="dcterms:W3CDTF">2016-05-06T07:28:55Z</dcterms:modified>
</cp:coreProperties>
</file>